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5600" windowHeight="7995" activeTab="2"/>
  </bookViews>
  <sheets>
    <sheet name="aset" sheetId="1" r:id="rId1"/>
    <sheet name="tabel 5.2 (2016)" sheetId="2" r:id="rId2"/>
    <sheet name="tabel 5.2 (2017)" sheetId="4" r:id="rId3"/>
    <sheet name="Sheet3" sheetId="3" r:id="rId4"/>
  </sheets>
  <definedNames>
    <definedName name="_xlnm.Print_Area" localSheetId="1">'tabel 5.2 (2016)'!$B$1:$AF$979</definedName>
    <definedName name="_xlnm.Print_Area" localSheetId="2">'tabel 5.2 (2017)'!$B$1:$AG$692</definedName>
    <definedName name="_xlnm.Print_Titles" localSheetId="1">'tabel 5.2 (2016)'!$6:$9</definedName>
    <definedName name="_xlnm.Print_Titles" localSheetId="2">'tabel 5.2 (2017)'!$6:$9</definedName>
  </definedNames>
  <calcPr calcId="144525"/>
</workbook>
</file>

<file path=xl/calcChain.xml><?xml version="1.0" encoding="utf-8"?>
<calcChain xmlns="http://schemas.openxmlformats.org/spreadsheetml/2006/main">
  <c r="Z866" i="2" l="1"/>
  <c r="Z840" i="2"/>
  <c r="V679" i="2"/>
  <c r="X679" i="2" s="1"/>
  <c r="Z679" i="2" s="1"/>
  <c r="V504" i="2"/>
  <c r="X504" i="2" s="1"/>
  <c r="Z504" i="2" s="1"/>
  <c r="V326" i="2"/>
  <c r="X326" i="2" s="1"/>
  <c r="Z326" i="2" s="1"/>
  <c r="V200" i="2"/>
  <c r="X200" i="2" s="1"/>
  <c r="T884" i="2"/>
  <c r="V884" i="2" s="1"/>
  <c r="X884" i="2" s="1"/>
  <c r="Z884" i="2" s="1"/>
  <c r="T769" i="2"/>
  <c r="V769" i="2" s="1"/>
  <c r="X769" i="2" s="1"/>
  <c r="Z769" i="2" s="1"/>
  <c r="T654" i="2"/>
  <c r="V654" i="2" s="1"/>
  <c r="X654" i="2" s="1"/>
  <c r="Z654" i="2" s="1"/>
  <c r="T551" i="2"/>
  <c r="V551" i="2" s="1"/>
  <c r="X551" i="2" s="1"/>
  <c r="Z551" i="2" s="1"/>
  <c r="T481" i="2"/>
  <c r="T420" i="2"/>
  <c r="V420" i="2" s="1"/>
  <c r="X420" i="2" s="1"/>
  <c r="Z420" i="2" s="1"/>
  <c r="T342" i="2"/>
  <c r="V342" i="2" s="1"/>
  <c r="X342" i="2" s="1"/>
  <c r="Z342" i="2" s="1"/>
  <c r="T271" i="2"/>
  <c r="V271" i="2" s="1"/>
  <c r="X271" i="2" s="1"/>
  <c r="T212" i="2"/>
  <c r="V212" i="2" s="1"/>
  <c r="X212" i="2" s="1"/>
  <c r="Z212" i="2" s="1"/>
  <c r="R974" i="2"/>
  <c r="T974" i="2" s="1"/>
  <c r="T47" i="2"/>
  <c r="V47" i="2" s="1"/>
  <c r="X47" i="2" s="1"/>
  <c r="Z47" i="2" s="1"/>
  <c r="T95" i="2"/>
  <c r="T147" i="2"/>
  <c r="V147" i="2" s="1"/>
  <c r="X147" i="2" s="1"/>
  <c r="Z147" i="2" s="1"/>
  <c r="V95" i="2"/>
  <c r="X95" i="2" s="1"/>
  <c r="Z95" i="2" s="1"/>
  <c r="V129" i="2"/>
  <c r="X129" i="2" s="1"/>
  <c r="Z129" i="2" s="1"/>
  <c r="R971" i="2"/>
  <c r="R957" i="2"/>
  <c r="T957" i="2" s="1"/>
  <c r="V957" i="2" s="1"/>
  <c r="X957" i="2" s="1"/>
  <c r="Z957" i="2" s="1"/>
  <c r="R951" i="2"/>
  <c r="T951" i="2" s="1"/>
  <c r="V951" i="2" s="1"/>
  <c r="X951" i="2" s="1"/>
  <c r="Z951" i="2" s="1"/>
  <c r="R945" i="2"/>
  <c r="T945" i="2" s="1"/>
  <c r="V945" i="2" s="1"/>
  <c r="X945" i="2" s="1"/>
  <c r="Z945" i="2" s="1"/>
  <c r="R935" i="2"/>
  <c r="T935" i="2" s="1"/>
  <c r="R929" i="2"/>
  <c r="T929" i="2" s="1"/>
  <c r="V929" i="2" s="1"/>
  <c r="R919" i="2"/>
  <c r="T919" i="2" s="1"/>
  <c r="R916" i="2"/>
  <c r="R909" i="2"/>
  <c r="T909" i="2" s="1"/>
  <c r="V909" i="2" s="1"/>
  <c r="X909" i="2" s="1"/>
  <c r="Z909" i="2" s="1"/>
  <c r="R902" i="2"/>
  <c r="T902" i="2" s="1"/>
  <c r="V902" i="2" s="1"/>
  <c r="X902" i="2" s="1"/>
  <c r="Z902" i="2" s="1"/>
  <c r="R896" i="2"/>
  <c r="T896" i="2" s="1"/>
  <c r="V896" i="2" s="1"/>
  <c r="X896" i="2" s="1"/>
  <c r="Z896" i="2" s="1"/>
  <c r="R890" i="2"/>
  <c r="T890" i="2" s="1"/>
  <c r="V890" i="2" s="1"/>
  <c r="X890" i="2" s="1"/>
  <c r="Z890" i="2" s="1"/>
  <c r="R884" i="2"/>
  <c r="R878" i="2"/>
  <c r="T878" i="2" s="1"/>
  <c r="V878" i="2" s="1"/>
  <c r="R872" i="2"/>
  <c r="T872" i="2" s="1"/>
  <c r="R859" i="2"/>
  <c r="T859" i="2" s="1"/>
  <c r="V859" i="2" s="1"/>
  <c r="X859" i="2" s="1"/>
  <c r="Z859" i="2" s="1"/>
  <c r="R852" i="2"/>
  <c r="T852" i="2" s="1"/>
  <c r="V852" i="2" s="1"/>
  <c r="X852" i="2" s="1"/>
  <c r="Z852" i="2" s="1"/>
  <c r="R846" i="2"/>
  <c r="T846" i="2" s="1"/>
  <c r="V846" i="2" s="1"/>
  <c r="X846" i="2" s="1"/>
  <c r="Z846" i="2" s="1"/>
  <c r="R840" i="2"/>
  <c r="T840" i="2" s="1"/>
  <c r="V840" i="2" s="1"/>
  <c r="X840" i="2" s="1"/>
  <c r="R831" i="2"/>
  <c r="T831" i="2" s="1"/>
  <c r="V831" i="2" s="1"/>
  <c r="X831" i="2" s="1"/>
  <c r="Z831" i="2" s="1"/>
  <c r="R825" i="2"/>
  <c r="T825" i="2" s="1"/>
  <c r="V825" i="2" s="1"/>
  <c r="X825" i="2" s="1"/>
  <c r="R817" i="2"/>
  <c r="T817" i="2" s="1"/>
  <c r="R807" i="2"/>
  <c r="T807" i="2" s="1"/>
  <c r="V807" i="2" s="1"/>
  <c r="X807" i="2" s="1"/>
  <c r="Z807" i="2" s="1"/>
  <c r="R801" i="2"/>
  <c r="T801" i="2" s="1"/>
  <c r="V801" i="2" s="1"/>
  <c r="X801" i="2" s="1"/>
  <c r="Z801" i="2" s="1"/>
  <c r="R795" i="2"/>
  <c r="T795" i="2" s="1"/>
  <c r="V795" i="2" s="1"/>
  <c r="X795" i="2" s="1"/>
  <c r="Z795" i="2" s="1"/>
  <c r="R788" i="2"/>
  <c r="T788" i="2" s="1"/>
  <c r="V788" i="2" s="1"/>
  <c r="X788" i="2" s="1"/>
  <c r="Z788" i="2" s="1"/>
  <c r="R781" i="2"/>
  <c r="T781" i="2" s="1"/>
  <c r="V781" i="2" s="1"/>
  <c r="X781" i="2" s="1"/>
  <c r="Z781" i="2" s="1"/>
  <c r="R775" i="2"/>
  <c r="T775" i="2" s="1"/>
  <c r="V775" i="2" s="1"/>
  <c r="X775" i="2" s="1"/>
  <c r="Z775" i="2" s="1"/>
  <c r="R769" i="2"/>
  <c r="R763" i="2"/>
  <c r="T763" i="2" s="1"/>
  <c r="R757" i="2"/>
  <c r="T757" i="2" s="1"/>
  <c r="V757" i="2" s="1"/>
  <c r="X757" i="2" s="1"/>
  <c r="R747" i="2"/>
  <c r="T747" i="2" s="1"/>
  <c r="V747" i="2" s="1"/>
  <c r="X747" i="2" s="1"/>
  <c r="Z747" i="2" s="1"/>
  <c r="R741" i="2"/>
  <c r="T741" i="2" s="1"/>
  <c r="R732" i="2"/>
  <c r="T732" i="2" s="1"/>
  <c r="V732" i="2" s="1"/>
  <c r="X732" i="2" s="1"/>
  <c r="R722" i="2"/>
  <c r="T722" i="2" s="1"/>
  <c r="V722" i="2" s="1"/>
  <c r="X722" i="2" s="1"/>
  <c r="Z722" i="2" s="1"/>
  <c r="R716" i="2"/>
  <c r="T716" i="2" s="1"/>
  <c r="V716" i="2" s="1"/>
  <c r="X716" i="2" s="1"/>
  <c r="Z716" i="2" s="1"/>
  <c r="R710" i="2"/>
  <c r="T710" i="2" s="1"/>
  <c r="V710" i="2" s="1"/>
  <c r="X710" i="2" s="1"/>
  <c r="Z710" i="2" s="1"/>
  <c r="R700" i="2"/>
  <c r="T700" i="2" s="1"/>
  <c r="R691" i="2"/>
  <c r="T691" i="2" s="1"/>
  <c r="V691" i="2" s="1"/>
  <c r="X691" i="2" s="1"/>
  <c r="Z691" i="2" s="1"/>
  <c r="R685" i="2"/>
  <c r="T685" i="2" s="1"/>
  <c r="V685" i="2" s="1"/>
  <c r="X685" i="2" s="1"/>
  <c r="Z685" i="2" s="1"/>
  <c r="R679" i="2"/>
  <c r="T679" i="2" s="1"/>
  <c r="R670" i="2"/>
  <c r="T670" i="2" s="1"/>
  <c r="R660" i="2"/>
  <c r="T660" i="2" s="1"/>
  <c r="V660" i="2" s="1"/>
  <c r="X660" i="2" s="1"/>
  <c r="Z660" i="2" s="1"/>
  <c r="R654" i="2"/>
  <c r="R646" i="2"/>
  <c r="T646" i="2" s="1"/>
  <c r="V646" i="2" s="1"/>
  <c r="X646" i="2" s="1"/>
  <c r="Z646" i="2" s="1"/>
  <c r="R633" i="2"/>
  <c r="T633" i="2" s="1"/>
  <c r="V633" i="2" s="1"/>
  <c r="X633" i="2" s="1"/>
  <c r="Z633" i="2" s="1"/>
  <c r="R626" i="2"/>
  <c r="T626" i="2" s="1"/>
  <c r="V626" i="2" s="1"/>
  <c r="X626" i="2" s="1"/>
  <c r="Z626" i="2" s="1"/>
  <c r="R620" i="2"/>
  <c r="T620" i="2" s="1"/>
  <c r="V620" i="2" s="1"/>
  <c r="X620" i="2" s="1"/>
  <c r="Z620" i="2" s="1"/>
  <c r="R614" i="2"/>
  <c r="T614" i="2" s="1"/>
  <c r="V614" i="2" s="1"/>
  <c r="X614" i="2" s="1"/>
  <c r="Z614" i="2" s="1"/>
  <c r="R604" i="2"/>
  <c r="T604" i="2" s="1"/>
  <c r="R593" i="2"/>
  <c r="T593" i="2" s="1"/>
  <c r="V593" i="2" s="1"/>
  <c r="X593" i="2" s="1"/>
  <c r="R583" i="2"/>
  <c r="T583" i="2" s="1"/>
  <c r="V583" i="2" s="1"/>
  <c r="X583" i="2" s="1"/>
  <c r="Z583" i="2" s="1"/>
  <c r="R576" i="2"/>
  <c r="T576" i="2" s="1"/>
  <c r="V576" i="2" s="1"/>
  <c r="X576" i="2" s="1"/>
  <c r="Z576" i="2" s="1"/>
  <c r="R570" i="2"/>
  <c r="T570" i="2" s="1"/>
  <c r="V570" i="2" s="1"/>
  <c r="X570" i="2" s="1"/>
  <c r="Z570" i="2" s="1"/>
  <c r="R562" i="2"/>
  <c r="T562" i="2" s="1"/>
  <c r="V562" i="2" s="1"/>
  <c r="X562" i="2" s="1"/>
  <c r="Z562" i="2" s="1"/>
  <c r="R551" i="2"/>
  <c r="R545" i="2"/>
  <c r="T545" i="2" s="1"/>
  <c r="V545" i="2" s="1"/>
  <c r="X545" i="2" s="1"/>
  <c r="Z545" i="2" s="1"/>
  <c r="R539" i="2"/>
  <c r="T539" i="2" s="1"/>
  <c r="V539" i="2" s="1"/>
  <c r="X539" i="2" s="1"/>
  <c r="Z539" i="2" s="1"/>
  <c r="R533" i="2"/>
  <c r="T533" i="2" s="1"/>
  <c r="V533" i="2" s="1"/>
  <c r="X533" i="2" s="1"/>
  <c r="Z533" i="2" s="1"/>
  <c r="R522" i="2"/>
  <c r="T522" i="2" s="1"/>
  <c r="V522" i="2" s="1"/>
  <c r="X522" i="2" s="1"/>
  <c r="Z522" i="2" s="1"/>
  <c r="R510" i="2"/>
  <c r="T510" i="2" s="1"/>
  <c r="V510" i="2" s="1"/>
  <c r="X510" i="2" s="1"/>
  <c r="Z510" i="2" s="1"/>
  <c r="R504" i="2"/>
  <c r="T504" i="2" s="1"/>
  <c r="R493" i="2"/>
  <c r="T493" i="2" s="1"/>
  <c r="V493" i="2" s="1"/>
  <c r="X493" i="2" s="1"/>
  <c r="Z493" i="2" s="1"/>
  <c r="R481" i="2"/>
  <c r="R473" i="2"/>
  <c r="T473" i="2" s="1"/>
  <c r="V473" i="2" s="1"/>
  <c r="X473" i="2" s="1"/>
  <c r="Z473" i="2" s="1"/>
  <c r="R466" i="2"/>
  <c r="T466" i="2" s="1"/>
  <c r="V466" i="2" s="1"/>
  <c r="X466" i="2" s="1"/>
  <c r="Z466" i="2" s="1"/>
  <c r="R459" i="2"/>
  <c r="T459" i="2" s="1"/>
  <c r="V459" i="2" s="1"/>
  <c r="X459" i="2" s="1"/>
  <c r="Z459" i="2" s="1"/>
  <c r="R451" i="2"/>
  <c r="T451" i="2" s="1"/>
  <c r="V451" i="2" s="1"/>
  <c r="X451" i="2" s="1"/>
  <c r="Z451" i="2" s="1"/>
  <c r="R441" i="2"/>
  <c r="T441" i="2" s="1"/>
  <c r="V441" i="2" s="1"/>
  <c r="X441" i="2" s="1"/>
  <c r="Z441" i="2" s="1"/>
  <c r="R435" i="2"/>
  <c r="T435" i="2" s="1"/>
  <c r="V435" i="2" s="1"/>
  <c r="X435" i="2" s="1"/>
  <c r="Z435" i="2" s="1"/>
  <c r="R427" i="2"/>
  <c r="T427" i="2" s="1"/>
  <c r="V427" i="2" s="1"/>
  <c r="X427" i="2" s="1"/>
  <c r="Z427" i="2" s="1"/>
  <c r="R420" i="2"/>
  <c r="R406" i="2"/>
  <c r="T406" i="2" s="1"/>
  <c r="V406" i="2" s="1"/>
  <c r="X406" i="2" s="1"/>
  <c r="Z406" i="2" s="1"/>
  <c r="R393" i="2"/>
  <c r="T393" i="2" s="1"/>
  <c r="V393" i="2" s="1"/>
  <c r="X393" i="2" s="1"/>
  <c r="Z393" i="2" s="1"/>
  <c r="R386" i="2"/>
  <c r="T386" i="2" s="1"/>
  <c r="V386" i="2" s="1"/>
  <c r="X386" i="2" s="1"/>
  <c r="Z386" i="2" s="1"/>
  <c r="R374" i="2"/>
  <c r="T374" i="2" s="1"/>
  <c r="R366" i="2"/>
  <c r="T366" i="2" s="1"/>
  <c r="V366" i="2" s="1"/>
  <c r="X366" i="2" s="1"/>
  <c r="R358" i="2"/>
  <c r="T358" i="2" s="1"/>
  <c r="V358" i="2" s="1"/>
  <c r="X358" i="2" s="1"/>
  <c r="Z358" i="2" s="1"/>
  <c r="R352" i="2"/>
  <c r="T352" i="2" s="1"/>
  <c r="V352" i="2" s="1"/>
  <c r="X352" i="2" s="1"/>
  <c r="Z352" i="2" s="1"/>
  <c r="R342" i="2"/>
  <c r="R332" i="2"/>
  <c r="T332" i="2" s="1"/>
  <c r="V332" i="2" s="1"/>
  <c r="X332" i="2" s="1"/>
  <c r="Z332" i="2" s="1"/>
  <c r="R326" i="2"/>
  <c r="T326" i="2" s="1"/>
  <c r="R320" i="2"/>
  <c r="T320" i="2" s="1"/>
  <c r="V320" i="2" s="1"/>
  <c r="X320" i="2" s="1"/>
  <c r="Z320" i="2" s="1"/>
  <c r="R305" i="2"/>
  <c r="T305" i="2" s="1"/>
  <c r="V305" i="2" s="1"/>
  <c r="X305" i="2" s="1"/>
  <c r="Z305" i="2" s="1"/>
  <c r="R298" i="2"/>
  <c r="T298" i="2" s="1"/>
  <c r="V298" i="2" s="1"/>
  <c r="X298" i="2" s="1"/>
  <c r="Z298" i="2" s="1"/>
  <c r="R289" i="2"/>
  <c r="T289" i="2" s="1"/>
  <c r="R277" i="2"/>
  <c r="T277" i="2" s="1"/>
  <c r="V277" i="2" s="1"/>
  <c r="X277" i="2" s="1"/>
  <c r="Z277" i="2" s="1"/>
  <c r="R271" i="2"/>
  <c r="R262" i="2"/>
  <c r="T262" i="2" s="1"/>
  <c r="V262" i="2" s="1"/>
  <c r="X262" i="2" s="1"/>
  <c r="Z262" i="2" s="1"/>
  <c r="R255" i="2"/>
  <c r="R247" i="2"/>
  <c r="T247" i="2" s="1"/>
  <c r="V247" i="2" s="1"/>
  <c r="X247" i="2" s="1"/>
  <c r="Z247" i="2" s="1"/>
  <c r="R241" i="2"/>
  <c r="T241" i="2" s="1"/>
  <c r="V241" i="2" s="1"/>
  <c r="X241" i="2" s="1"/>
  <c r="Z241" i="2" s="1"/>
  <c r="R235" i="2"/>
  <c r="T235" i="2" s="1"/>
  <c r="R226" i="2"/>
  <c r="T226" i="2" s="1"/>
  <c r="V226" i="2" s="1"/>
  <c r="X226" i="2" s="1"/>
  <c r="R218" i="2"/>
  <c r="T218" i="2" s="1"/>
  <c r="V218" i="2" s="1"/>
  <c r="X218" i="2" s="1"/>
  <c r="Z218" i="2" s="1"/>
  <c r="R212" i="2"/>
  <c r="R206" i="2"/>
  <c r="T206" i="2" s="1"/>
  <c r="V206" i="2" s="1"/>
  <c r="X206" i="2" s="1"/>
  <c r="Z206" i="2" s="1"/>
  <c r="R200" i="2"/>
  <c r="T200" i="2" s="1"/>
  <c r="R192" i="2"/>
  <c r="R173" i="2" s="1"/>
  <c r="R175" i="2"/>
  <c r="T175" i="2" s="1"/>
  <c r="V175" i="2" s="1"/>
  <c r="X175" i="2" s="1"/>
  <c r="R167" i="2"/>
  <c r="T167" i="2" s="1"/>
  <c r="V167" i="2" s="1"/>
  <c r="X167" i="2" s="1"/>
  <c r="P926" i="2"/>
  <c r="R165" i="2"/>
  <c r="R159" i="2"/>
  <c r="T159" i="2" s="1"/>
  <c r="V159" i="2" s="1"/>
  <c r="X159" i="2" s="1"/>
  <c r="Z159" i="2" s="1"/>
  <c r="R153" i="2"/>
  <c r="T153" i="2" s="1"/>
  <c r="V153" i="2" s="1"/>
  <c r="X153" i="2" s="1"/>
  <c r="Z153" i="2" s="1"/>
  <c r="R147" i="2"/>
  <c r="R141" i="2"/>
  <c r="T141" i="2" s="1"/>
  <c r="V141" i="2" s="1"/>
  <c r="X141" i="2" s="1"/>
  <c r="Z141" i="2" s="1"/>
  <c r="R135" i="2"/>
  <c r="T135" i="2" s="1"/>
  <c r="V135" i="2" s="1"/>
  <c r="X135" i="2" s="1"/>
  <c r="Z135" i="2" s="1"/>
  <c r="R129" i="2"/>
  <c r="T129" i="2" s="1"/>
  <c r="R123" i="2"/>
  <c r="T123" i="2" s="1"/>
  <c r="V123" i="2" s="1"/>
  <c r="X123" i="2" s="1"/>
  <c r="Z123" i="2" s="1"/>
  <c r="R117" i="2"/>
  <c r="T117" i="2" s="1"/>
  <c r="V117" i="2" s="1"/>
  <c r="X117" i="2" s="1"/>
  <c r="Z117" i="2" s="1"/>
  <c r="P117" i="2"/>
  <c r="R23" i="2"/>
  <c r="T23" i="2" s="1"/>
  <c r="V23" i="2" s="1"/>
  <c r="X23" i="2" s="1"/>
  <c r="Z23" i="2" s="1"/>
  <c r="R109" i="2"/>
  <c r="T109" i="2" s="1"/>
  <c r="V109" i="2" s="1"/>
  <c r="X109" i="2" s="1"/>
  <c r="Z109" i="2" s="1"/>
  <c r="R101" i="2"/>
  <c r="T101" i="2" s="1"/>
  <c r="V101" i="2" s="1"/>
  <c r="X101" i="2" s="1"/>
  <c r="Z101" i="2" s="1"/>
  <c r="R95" i="2"/>
  <c r="R89" i="2"/>
  <c r="T89" i="2" s="1"/>
  <c r="V89" i="2" s="1"/>
  <c r="X89" i="2" s="1"/>
  <c r="Z89" i="2" s="1"/>
  <c r="R83" i="2"/>
  <c r="T83" i="2" s="1"/>
  <c r="V83" i="2" s="1"/>
  <c r="X83" i="2" s="1"/>
  <c r="Z83" i="2" s="1"/>
  <c r="R77" i="2"/>
  <c r="T77" i="2" s="1"/>
  <c r="V77" i="2" s="1"/>
  <c r="X77" i="2" s="1"/>
  <c r="Z77" i="2" s="1"/>
  <c r="R65" i="2"/>
  <c r="T65" i="2" s="1"/>
  <c r="V65" i="2" s="1"/>
  <c r="X65" i="2" s="1"/>
  <c r="Z65" i="2" s="1"/>
  <c r="R59" i="2"/>
  <c r="T59" i="2" s="1"/>
  <c r="V59" i="2" s="1"/>
  <c r="X59" i="2" s="1"/>
  <c r="Z59" i="2" s="1"/>
  <c r="R53" i="2"/>
  <c r="T53" i="2" s="1"/>
  <c r="V53" i="2" s="1"/>
  <c r="X53" i="2" s="1"/>
  <c r="Z53" i="2" s="1"/>
  <c r="R47" i="2"/>
  <c r="R41" i="2"/>
  <c r="T41" i="2" s="1"/>
  <c r="V41" i="2" s="1"/>
  <c r="X41" i="2" s="1"/>
  <c r="Z41" i="2" s="1"/>
  <c r="R35" i="2"/>
  <c r="T35" i="2" s="1"/>
  <c r="V35" i="2" s="1"/>
  <c r="X35" i="2" s="1"/>
  <c r="Z35" i="2" s="1"/>
  <c r="R29" i="2"/>
  <c r="T29" i="2" s="1"/>
  <c r="V29" i="2" s="1"/>
  <c r="X29" i="2" s="1"/>
  <c r="Z29" i="2" s="1"/>
  <c r="R17" i="2"/>
  <c r="T17" i="2" s="1"/>
  <c r="P71" i="2"/>
  <c r="R71" i="2" s="1"/>
  <c r="T71" i="2" s="1"/>
  <c r="V71" i="2" s="1"/>
  <c r="X71" i="2" s="1"/>
  <c r="Z71" i="2" s="1"/>
  <c r="P14" i="2"/>
  <c r="Z226" i="2" l="1"/>
  <c r="T224" i="2"/>
  <c r="V235" i="2"/>
  <c r="Z366" i="2"/>
  <c r="Z175" i="2"/>
  <c r="T364" i="2"/>
  <c r="V374" i="2"/>
  <c r="T14" i="2"/>
  <c r="V17" i="2"/>
  <c r="X17" i="2" s="1"/>
  <c r="Z17" i="2" s="1"/>
  <c r="Z593" i="2"/>
  <c r="Z757" i="2"/>
  <c r="T729" i="2"/>
  <c r="V741" i="2"/>
  <c r="Z825" i="2"/>
  <c r="X198" i="2"/>
  <c r="Z200" i="2"/>
  <c r="Z271" i="2"/>
  <c r="T287" i="2"/>
  <c r="V289" i="2"/>
  <c r="T591" i="2"/>
  <c r="V604" i="2"/>
  <c r="R667" i="2"/>
  <c r="T869" i="2"/>
  <c r="V872" i="2"/>
  <c r="X872" i="2" s="1"/>
  <c r="Z872" i="2" s="1"/>
  <c r="T916" i="2"/>
  <c r="V919" i="2"/>
  <c r="V198" i="2"/>
  <c r="R253" i="2"/>
  <c r="T255" i="2"/>
  <c r="T667" i="2"/>
  <c r="V670" i="2"/>
  <c r="V700" i="2"/>
  <c r="T698" i="2"/>
  <c r="Z732" i="2"/>
  <c r="T754" i="2"/>
  <c r="V763" i="2"/>
  <c r="T814" i="2"/>
  <c r="V817" i="2"/>
  <c r="V869" i="2"/>
  <c r="X878" i="2"/>
  <c r="X929" i="2"/>
  <c r="V926" i="2"/>
  <c r="T192" i="2"/>
  <c r="T971" i="2"/>
  <c r="V974" i="2"/>
  <c r="T479" i="2"/>
  <c r="V481" i="2"/>
  <c r="T198" i="2"/>
  <c r="X165" i="2"/>
  <c r="Z167" i="2"/>
  <c r="T926" i="2"/>
  <c r="V935" i="2"/>
  <c r="X935" i="2" s="1"/>
  <c r="Z935" i="2" s="1"/>
  <c r="V165" i="2"/>
  <c r="T165" i="2"/>
  <c r="T115" i="2"/>
  <c r="V14" i="2"/>
  <c r="V115" i="2"/>
  <c r="X115" i="2"/>
  <c r="X14" i="2"/>
  <c r="R926" i="2"/>
  <c r="R869" i="2"/>
  <c r="R814" i="2"/>
  <c r="R754" i="2"/>
  <c r="R729" i="2"/>
  <c r="R698" i="2"/>
  <c r="R591" i="2"/>
  <c r="R479" i="2"/>
  <c r="R364" i="2"/>
  <c r="R287" i="2"/>
  <c r="R224" i="2"/>
  <c r="R198" i="2"/>
  <c r="R115" i="2"/>
  <c r="R14" i="2"/>
  <c r="U312" i="2"/>
  <c r="S312" i="2"/>
  <c r="Q312" i="2"/>
  <c r="Y312" i="2" s="1"/>
  <c r="O431" i="2"/>
  <c r="Q431" i="2" s="1"/>
  <c r="S431" i="2" s="1"/>
  <c r="U431" i="2" s="1"/>
  <c r="W431" i="2" s="1"/>
  <c r="Y431" i="2" s="1"/>
  <c r="O312" i="2"/>
  <c r="W312" i="2" s="1"/>
  <c r="X869" i="2" l="1"/>
  <c r="Z878" i="2"/>
  <c r="V754" i="2"/>
  <c r="X763" i="2"/>
  <c r="T253" i="2"/>
  <c r="T979" i="2" s="1"/>
  <c r="V255" i="2"/>
  <c r="V591" i="2"/>
  <c r="X604" i="2"/>
  <c r="V224" i="2"/>
  <c r="X235" i="2"/>
  <c r="V698" i="2"/>
  <c r="X700" i="2"/>
  <c r="X817" i="2"/>
  <c r="V814" i="2"/>
  <c r="X670" i="2"/>
  <c r="V667" i="2"/>
  <c r="X289" i="2"/>
  <c r="V287" i="2"/>
  <c r="V729" i="2"/>
  <c r="X741" i="2"/>
  <c r="V364" i="2"/>
  <c r="X374" i="2"/>
  <c r="Z14" i="2"/>
  <c r="V479" i="2"/>
  <c r="X481" i="2"/>
  <c r="T173" i="2"/>
  <c r="V192" i="2"/>
  <c r="X974" i="2"/>
  <c r="V971" i="2"/>
  <c r="Z929" i="2"/>
  <c r="X926" i="2"/>
  <c r="Z926" i="2" s="1"/>
  <c r="X919" i="2"/>
  <c r="V916" i="2"/>
  <c r="R979" i="2"/>
  <c r="AA522" i="2"/>
  <c r="N431" i="2"/>
  <c r="AA393" i="2"/>
  <c r="P971" i="2"/>
  <c r="P916" i="2"/>
  <c r="P869" i="2"/>
  <c r="P814" i="2"/>
  <c r="P754" i="2"/>
  <c r="P729" i="2"/>
  <c r="P698" i="2"/>
  <c r="P667" i="2"/>
  <c r="P591" i="2"/>
  <c r="P479" i="2"/>
  <c r="P364" i="2"/>
  <c r="P287" i="2"/>
  <c r="P253" i="2"/>
  <c r="P224" i="2"/>
  <c r="P198" i="2"/>
  <c r="Z198" i="2" s="1"/>
  <c r="P173" i="2"/>
  <c r="P165" i="2"/>
  <c r="Z165" i="2" s="1"/>
  <c r="P115" i="2"/>
  <c r="Z115" i="2" s="1"/>
  <c r="Z374" i="2" l="1"/>
  <c r="X364" i="2"/>
  <c r="Z364" i="2" s="1"/>
  <c r="X916" i="2"/>
  <c r="Z916" i="2" s="1"/>
  <c r="Z919" i="2"/>
  <c r="X971" i="2"/>
  <c r="Z974" i="2"/>
  <c r="X479" i="2"/>
  <c r="Z479" i="2" s="1"/>
  <c r="Z481" i="2"/>
  <c r="X287" i="2"/>
  <c r="Z287" i="2" s="1"/>
  <c r="Z289" i="2"/>
  <c r="Z235" i="2"/>
  <c r="X224" i="2"/>
  <c r="Z224" i="2" s="1"/>
  <c r="V253" i="2"/>
  <c r="V979" i="2" s="1"/>
  <c r="X255" i="2"/>
  <c r="P979" i="2"/>
  <c r="Z741" i="2"/>
  <c r="X729" i="2"/>
  <c r="Z729" i="2" s="1"/>
  <c r="Z869" i="2"/>
  <c r="Z817" i="2"/>
  <c r="X814" i="2"/>
  <c r="Z814" i="2" s="1"/>
  <c r="V173" i="2"/>
  <c r="X192" i="2"/>
  <c r="X667" i="2"/>
  <c r="Z667" i="2" s="1"/>
  <c r="Z670" i="2"/>
  <c r="X698" i="2"/>
  <c r="Z698" i="2" s="1"/>
  <c r="Z700" i="2"/>
  <c r="Z604" i="2"/>
  <c r="X591" i="2"/>
  <c r="Z591" i="2" s="1"/>
  <c r="Z763" i="2"/>
  <c r="X754" i="2"/>
  <c r="Z754" i="2" s="1"/>
  <c r="N312" i="2"/>
  <c r="AA763" i="2"/>
  <c r="AA769" i="2" s="1"/>
  <c r="AA775" i="2" s="1"/>
  <c r="AA781" i="2" s="1"/>
  <c r="AA795" i="2" s="1"/>
  <c r="AA801" i="2" s="1"/>
  <c r="AA807" i="2" s="1"/>
  <c r="AA817" i="2" s="1"/>
  <c r="AA825" i="2" s="1"/>
  <c r="AA831" i="2" s="1"/>
  <c r="AA840" i="2" s="1"/>
  <c r="AA846" i="2" s="1"/>
  <c r="AA852" i="2" s="1"/>
  <c r="AA859" i="2" s="1"/>
  <c r="AA902" i="2" s="1"/>
  <c r="AA878" i="2" s="1"/>
  <c r="AA884" i="2" s="1"/>
  <c r="AA890" i="2" s="1"/>
  <c r="AA896" i="2" s="1"/>
  <c r="AA909" i="2" s="1"/>
  <c r="AA929" i="2" s="1"/>
  <c r="AA935" i="2" s="1"/>
  <c r="AA741" i="2"/>
  <c r="AA716" i="2"/>
  <c r="AA679" i="2"/>
  <c r="AA576" i="2"/>
  <c r="AA583" i="2" s="1"/>
  <c r="AA584" i="2" s="1"/>
  <c r="AA555" i="2"/>
  <c r="AA539" i="2"/>
  <c r="AA493" i="2"/>
  <c r="AA504" i="2" s="1"/>
  <c r="AA510" i="2" s="1"/>
  <c r="AA459" i="2"/>
  <c r="AA466" i="2" s="1"/>
  <c r="AA467" i="2" s="1"/>
  <c r="AA473" i="2" s="1"/>
  <c r="AA481" i="2" s="1"/>
  <c r="AA400" i="2"/>
  <c r="AA212" i="2"/>
  <c r="AA218" i="2" s="1"/>
  <c r="AA109" i="2"/>
  <c r="AA23" i="2"/>
  <c r="AA29" i="2" s="1"/>
  <c r="AA35" i="2" s="1"/>
  <c r="AA41" i="2" s="1"/>
  <c r="AA47" i="2" s="1"/>
  <c r="AA53" i="2" s="1"/>
  <c r="AA59" i="2" s="1"/>
  <c r="AA65" i="2" s="1"/>
  <c r="Z192" i="2" l="1"/>
  <c r="X173" i="2"/>
  <c r="Z173" i="2" s="1"/>
  <c r="Z255" i="2"/>
  <c r="X253" i="2"/>
  <c r="Z253" i="2" s="1"/>
  <c r="Z971" i="2"/>
  <c r="AA374" i="2"/>
  <c r="AA406" i="2"/>
  <c r="AA945" i="2"/>
  <c r="AA951" i="2" s="1"/>
  <c r="AA957" i="2" s="1"/>
  <c r="AA974" i="2" s="1"/>
  <c r="AA937" i="2"/>
  <c r="AA938" i="2" s="1"/>
  <c r="AA939" i="2" s="1"/>
  <c r="X979" i="2" l="1"/>
  <c r="Z979" i="2"/>
  <c r="U454" i="4"/>
  <c r="W454" i="4" s="1"/>
  <c r="Y454" i="4" s="1"/>
  <c r="AA454" i="4" s="1"/>
  <c r="U313" i="4"/>
  <c r="W313" i="4" s="1"/>
  <c r="Y313" i="4" s="1"/>
  <c r="AA313" i="4" s="1"/>
  <c r="U373" i="4"/>
  <c r="W373" i="4" s="1"/>
  <c r="Y373" i="4" s="1"/>
  <c r="AA373" i="4" s="1"/>
  <c r="U98" i="4"/>
  <c r="W98" i="4" s="1"/>
  <c r="Y98" i="4" s="1"/>
  <c r="AA98" i="4" s="1"/>
  <c r="U75" i="4"/>
  <c r="W75" i="4" s="1"/>
  <c r="Y75" i="4" s="1"/>
  <c r="AA75" i="4" s="1"/>
  <c r="S632" i="4"/>
  <c r="U632" i="4" s="1"/>
  <c r="S651" i="4"/>
  <c r="U651" i="4" s="1"/>
  <c r="W651" i="4" s="1"/>
  <c r="Y651" i="4" s="1"/>
  <c r="AA651" i="4" s="1"/>
  <c r="S569" i="4"/>
  <c r="U569" i="4" s="1"/>
  <c r="S601" i="4"/>
  <c r="U601" i="4" s="1"/>
  <c r="W601" i="4" s="1"/>
  <c r="Y601" i="4" s="1"/>
  <c r="AA601" i="4" s="1"/>
  <c r="S424" i="4"/>
  <c r="U424" i="4" s="1"/>
  <c r="S539" i="4"/>
  <c r="U539" i="4" s="1"/>
  <c r="W539" i="4" s="1"/>
  <c r="Y539" i="4" s="1"/>
  <c r="AA539" i="4" s="1"/>
  <c r="S481" i="4"/>
  <c r="U481" i="4" s="1"/>
  <c r="W481" i="4" s="1"/>
  <c r="Y481" i="4" s="1"/>
  <c r="AA481" i="4" s="1"/>
  <c r="S454" i="4"/>
  <c r="S283" i="4"/>
  <c r="U283" i="4" s="1"/>
  <c r="S401" i="4"/>
  <c r="U401" i="4" s="1"/>
  <c r="W401" i="4" s="1"/>
  <c r="Y401" i="4" s="1"/>
  <c r="AA401" i="4" s="1"/>
  <c r="S373" i="4"/>
  <c r="S341" i="4"/>
  <c r="U341" i="4" s="1"/>
  <c r="W341" i="4" s="1"/>
  <c r="Y341" i="4" s="1"/>
  <c r="AA341" i="4" s="1"/>
  <c r="S313" i="4"/>
  <c r="S89" i="4"/>
  <c r="U89" i="4" s="1"/>
  <c r="W89" i="4" s="1"/>
  <c r="Y89" i="4" s="1"/>
  <c r="AA89" i="4" s="1"/>
  <c r="S98" i="4"/>
  <c r="S65" i="4"/>
  <c r="U65" i="4" s="1"/>
  <c r="S75" i="4"/>
  <c r="U55" i="4"/>
  <c r="W55" i="4" s="1"/>
  <c r="Y55" i="4" s="1"/>
  <c r="AA55" i="4" s="1"/>
  <c r="S17" i="4"/>
  <c r="U17" i="4" s="1"/>
  <c r="W17" i="4" s="1"/>
  <c r="Y17" i="4" s="1"/>
  <c r="AA17" i="4" s="1"/>
  <c r="S55" i="4"/>
  <c r="W424" i="4" l="1"/>
  <c r="Y424" i="4" s="1"/>
  <c r="AA424" i="4" s="1"/>
  <c r="U630" i="4"/>
  <c r="W632" i="4"/>
  <c r="Y632" i="4" s="1"/>
  <c r="AA632" i="4" s="1"/>
  <c r="U63" i="4"/>
  <c r="W65" i="4"/>
  <c r="W63" i="4" s="1"/>
  <c r="U280" i="4"/>
  <c r="W283" i="4"/>
  <c r="Y283" i="4" s="1"/>
  <c r="AA283" i="4" s="1"/>
  <c r="AA14" i="4"/>
  <c r="W569" i="4"/>
  <c r="Y569" i="4" s="1"/>
  <c r="AA569" i="4" s="1"/>
  <c r="Y567" i="4"/>
  <c r="Y280" i="4"/>
  <c r="Y65" i="4"/>
  <c r="Y14" i="4"/>
  <c r="W14" i="4"/>
  <c r="U14" i="4"/>
  <c r="S686" i="4"/>
  <c r="U686" i="4" s="1"/>
  <c r="W686" i="4" s="1"/>
  <c r="Y686" i="4" s="1"/>
  <c r="AA686" i="4" s="1"/>
  <c r="Q660" i="4"/>
  <c r="S660" i="4" s="1"/>
  <c r="U660" i="4" s="1"/>
  <c r="S593" i="4"/>
  <c r="U593" i="4" s="1"/>
  <c r="W593" i="4" s="1"/>
  <c r="Y593" i="4" s="1"/>
  <c r="AA593" i="4" s="1"/>
  <c r="O280" i="4"/>
  <c r="O421" i="4"/>
  <c r="S513" i="4"/>
  <c r="U513" i="4" s="1"/>
  <c r="W513" i="4" s="1"/>
  <c r="Y513" i="4" s="1"/>
  <c r="AA513" i="4" s="1"/>
  <c r="S244" i="4"/>
  <c r="U244" i="4" s="1"/>
  <c r="W244" i="4" s="1"/>
  <c r="Y244" i="4" s="1"/>
  <c r="AA244" i="4" s="1"/>
  <c r="S138" i="4"/>
  <c r="U138" i="4" s="1"/>
  <c r="W138" i="4" s="1"/>
  <c r="S153" i="4"/>
  <c r="U153" i="4" s="1"/>
  <c r="W153" i="4" s="1"/>
  <c r="Y153" i="4" s="1"/>
  <c r="AA153" i="4" s="1"/>
  <c r="S126" i="4"/>
  <c r="U126" i="4" s="1"/>
  <c r="W660" i="4" l="1"/>
  <c r="U657" i="4"/>
  <c r="U124" i="4"/>
  <c r="W126" i="4"/>
  <c r="W421" i="4"/>
  <c r="Y630" i="4"/>
  <c r="U567" i="4"/>
  <c r="Y138" i="4"/>
  <c r="Y63" i="4"/>
  <c r="AA65" i="4"/>
  <c r="Y421" i="4"/>
  <c r="W630" i="4"/>
  <c r="AA280" i="4"/>
  <c r="W280" i="4"/>
  <c r="W567" i="4"/>
  <c r="AA567" i="4" s="1"/>
  <c r="U421" i="4"/>
  <c r="S218" i="4"/>
  <c r="U218" i="4" s="1"/>
  <c r="W218" i="4" s="1"/>
  <c r="Y218" i="4" s="1"/>
  <c r="AA218" i="4" s="1"/>
  <c r="S210" i="4"/>
  <c r="U210" i="4" s="1"/>
  <c r="S198" i="4"/>
  <c r="U198" i="4" s="1"/>
  <c r="S190" i="4"/>
  <c r="U190" i="4" s="1"/>
  <c r="W190" i="4" s="1"/>
  <c r="Y190" i="4" s="1"/>
  <c r="AA190" i="4" s="1"/>
  <c r="S172" i="4"/>
  <c r="U172" i="4" s="1"/>
  <c r="W172" i="4" s="1"/>
  <c r="Y172" i="4" s="1"/>
  <c r="AA172" i="4" s="1"/>
  <c r="S118" i="4"/>
  <c r="U118" i="4" s="1"/>
  <c r="S657" i="4"/>
  <c r="S567" i="4"/>
  <c r="S421" i="4"/>
  <c r="S280" i="4"/>
  <c r="S188" i="4"/>
  <c r="S136" i="4"/>
  <c r="S124" i="4"/>
  <c r="S87" i="4"/>
  <c r="S63" i="4"/>
  <c r="Q657" i="4"/>
  <c r="Q630" i="4"/>
  <c r="Q567" i="4"/>
  <c r="Q421" i="4"/>
  <c r="Q280" i="4"/>
  <c r="Q208" i="4"/>
  <c r="Q188" i="4"/>
  <c r="Q136" i="4"/>
  <c r="Q124" i="4"/>
  <c r="Q87" i="4"/>
  <c r="Q63" i="4"/>
  <c r="Q14" i="4"/>
  <c r="Z553" i="4"/>
  <c r="Z541" i="4"/>
  <c r="Z529" i="4"/>
  <c r="Z518" i="4"/>
  <c r="X553" i="4"/>
  <c r="X541" i="4"/>
  <c r="X529" i="4"/>
  <c r="X518" i="4"/>
  <c r="V553" i="4"/>
  <c r="V541" i="4"/>
  <c r="V529" i="4"/>
  <c r="V518" i="4"/>
  <c r="T553" i="4"/>
  <c r="T541" i="4"/>
  <c r="T529" i="4"/>
  <c r="T518" i="4"/>
  <c r="R553" i="4"/>
  <c r="R541" i="4"/>
  <c r="R529" i="4"/>
  <c r="R518" i="4"/>
  <c r="P553" i="4"/>
  <c r="P541" i="4"/>
  <c r="P529" i="4"/>
  <c r="P518" i="4"/>
  <c r="P131" i="4"/>
  <c r="R131" i="4" s="1"/>
  <c r="T131" i="4" s="1"/>
  <c r="V131" i="4" s="1"/>
  <c r="X131" i="4" s="1"/>
  <c r="Z131" i="4" s="1"/>
  <c r="O553" i="4"/>
  <c r="O541" i="4"/>
  <c r="O529" i="4"/>
  <c r="O518" i="4"/>
  <c r="W124" i="4" l="1"/>
  <c r="Y126" i="4"/>
  <c r="AA63" i="4"/>
  <c r="S208" i="4"/>
  <c r="U188" i="4"/>
  <c r="W198" i="4"/>
  <c r="AA421" i="4"/>
  <c r="W136" i="4"/>
  <c r="W118" i="4"/>
  <c r="U87" i="4"/>
  <c r="W210" i="4"/>
  <c r="U208" i="4"/>
  <c r="U136" i="4"/>
  <c r="AA138" i="4"/>
  <c r="Y136" i="4"/>
  <c r="AA136" i="4" s="1"/>
  <c r="Y660" i="4"/>
  <c r="W657" i="4"/>
  <c r="Q692" i="4"/>
  <c r="U692" i="4"/>
  <c r="Y210" i="4" l="1"/>
  <c r="W208" i="4"/>
  <c r="W188" i="4"/>
  <c r="W692" i="4" s="1"/>
  <c r="Y198" i="4"/>
  <c r="Y118" i="4"/>
  <c r="W87" i="4"/>
  <c r="Y124" i="4"/>
  <c r="AA124" i="4" s="1"/>
  <c r="AA126" i="4"/>
  <c r="AA660" i="4"/>
  <c r="Y657" i="4"/>
  <c r="O131" i="4"/>
  <c r="Y188" i="4" l="1"/>
  <c r="AA188" i="4" s="1"/>
  <c r="AA198" i="4"/>
  <c r="AA118" i="4"/>
  <c r="Y87" i="4"/>
  <c r="AA87" i="4" s="1"/>
  <c r="AA657" i="4"/>
  <c r="AA210" i="4"/>
  <c r="Y208" i="4"/>
  <c r="AA208" i="4" s="1"/>
  <c r="AD126" i="4"/>
  <c r="AC124" i="4"/>
  <c r="AD89" i="4"/>
  <c r="AD87" i="4" s="1"/>
  <c r="AC87" i="4"/>
  <c r="AD75" i="4"/>
  <c r="AC63" i="4"/>
  <c r="AD55" i="4"/>
  <c r="AD17" i="4"/>
  <c r="Y692" i="4" l="1"/>
  <c r="AD124" i="4"/>
  <c r="AD63" i="4"/>
  <c r="AD14" i="4"/>
  <c r="AC14" i="4"/>
  <c r="AC692" i="4" l="1"/>
  <c r="AD692" i="4"/>
  <c r="AB974" i="2" l="1"/>
  <c r="AC971" i="2"/>
  <c r="AC965" i="2"/>
  <c r="AC963" i="2"/>
  <c r="AC961" i="2"/>
  <c r="AC960" i="2"/>
  <c r="AC957" i="2"/>
  <c r="AC951" i="2"/>
  <c r="AC945" i="2"/>
  <c r="AD939" i="2"/>
  <c r="AD945" i="2" s="1"/>
  <c r="AD951" i="2" s="1"/>
  <c r="AD957" i="2" s="1"/>
  <c r="AD963" i="2" s="1"/>
  <c r="AD965" i="2" s="1"/>
  <c r="AD971" i="2" s="1"/>
  <c r="AD885" i="2" s="1"/>
  <c r="AD891" i="2" s="1"/>
  <c r="AD920" i="2" s="1"/>
  <c r="AC939" i="2"/>
  <c r="AC937" i="2"/>
  <c r="AB930" i="2"/>
  <c r="AE920" i="2"/>
  <c r="AC920" i="2"/>
  <c r="AC918" i="2"/>
  <c r="AE916" i="2"/>
  <c r="AD916" i="2"/>
  <c r="AC916" i="2"/>
  <c r="AC910" i="2"/>
  <c r="AC891" i="2"/>
  <c r="AC885" i="2"/>
  <c r="AB878" i="2"/>
  <c r="AC871" i="2"/>
  <c r="AE869" i="2"/>
  <c r="AE859" i="2" s="1"/>
  <c r="AC869" i="2"/>
  <c r="AC867" i="2"/>
  <c r="AB865" i="2"/>
  <c r="AC865" i="2" s="1"/>
  <c r="AC859" i="2"/>
  <c r="AC841" i="2"/>
  <c r="AC834" i="2"/>
  <c r="AD832" i="2"/>
  <c r="AD834" i="2" s="1"/>
  <c r="AD869" i="2" s="1"/>
  <c r="AD859" i="2" s="1"/>
  <c r="AC832" i="2"/>
  <c r="AC819" i="2"/>
  <c r="AB818" i="2"/>
  <c r="AC818" i="2" s="1"/>
  <c r="AE816" i="2"/>
  <c r="AC816" i="2"/>
  <c r="AC814" i="2"/>
  <c r="AE808" i="2"/>
  <c r="AD808" i="2"/>
  <c r="AD816" i="2" s="1"/>
  <c r="AC808" i="2"/>
  <c r="AC790" i="2"/>
  <c r="AC788" i="2"/>
  <c r="AC782" i="2"/>
  <c r="AC741" i="2"/>
  <c r="AC735" i="2"/>
  <c r="AC716" i="2"/>
  <c r="AC711" i="2"/>
  <c r="AC703" i="2"/>
  <c r="AC673" i="2"/>
  <c r="AC671" i="2"/>
  <c r="AB668" i="2"/>
  <c r="AC668" i="2" s="1"/>
  <c r="AB666" i="2"/>
  <c r="AC666" i="2" s="1"/>
  <c r="AB634" i="2"/>
  <c r="AC634" i="2" s="1"/>
  <c r="AB628" i="2"/>
  <c r="AB626" i="2"/>
  <c r="AC626" i="2" s="1"/>
  <c r="AC620" i="2"/>
  <c r="AB614" i="2"/>
  <c r="AC614" i="2" s="1"/>
  <c r="AE606" i="2"/>
  <c r="AB606" i="2"/>
  <c r="AC606" i="2" s="1"/>
  <c r="AC604" i="2"/>
  <c r="AD596" i="2"/>
  <c r="AD604" i="2" s="1"/>
  <c r="AD606" i="2" s="1"/>
  <c r="AC596" i="2"/>
  <c r="AC595" i="2"/>
  <c r="AB592" i="2"/>
  <c r="AC592" i="2" s="1"/>
  <c r="AC591" i="2"/>
  <c r="AD590" i="2"/>
  <c r="AB590" i="2"/>
  <c r="AC590" i="2" s="1"/>
  <c r="AB585" i="2"/>
  <c r="AC585" i="2" s="1"/>
  <c r="AC584" i="2"/>
  <c r="AB584" i="2"/>
  <c r="AC578" i="2"/>
  <c r="AC576" i="2"/>
  <c r="AC570" i="2"/>
  <c r="AD564" i="2"/>
  <c r="AC564" i="2"/>
  <c r="AC562" i="2"/>
  <c r="AE555" i="2"/>
  <c r="AD555" i="2"/>
  <c r="AC555" i="2"/>
  <c r="AB553" i="2"/>
  <c r="AC553" i="2" s="1"/>
  <c r="AB551" i="2"/>
  <c r="AC551" i="2" s="1"/>
  <c r="AB545" i="2"/>
  <c r="AC545" i="2" s="1"/>
  <c r="AB539" i="2"/>
  <c r="AC539" i="2" s="1"/>
  <c r="AB533" i="2"/>
  <c r="AC533" i="2" s="1"/>
  <c r="AB526" i="2"/>
  <c r="AC526" i="2" s="1"/>
  <c r="AC525" i="2"/>
  <c r="AB524" i="2"/>
  <c r="AC524" i="2" s="1"/>
  <c r="AC522" i="2"/>
  <c r="AB516" i="2"/>
  <c r="AC516" i="2" s="1"/>
  <c r="AB514" i="2"/>
  <c r="AC514" i="2" s="1"/>
  <c r="AB512" i="2"/>
  <c r="AC512" i="2" s="1"/>
  <c r="AB510" i="2"/>
  <c r="AC510" i="2" s="1"/>
  <c r="AC506" i="2"/>
  <c r="AB506" i="2"/>
  <c r="AD504" i="2"/>
  <c r="AD506" i="2" s="1"/>
  <c r="AD510" i="2" s="1"/>
  <c r="AB504" i="2"/>
  <c r="AC504" i="2" s="1"/>
  <c r="AB493" i="2"/>
  <c r="AC493" i="2" s="1"/>
  <c r="AB484" i="2"/>
  <c r="AC484" i="2" s="1"/>
  <c r="AD480" i="2"/>
  <c r="AD484" i="2" s="1"/>
  <c r="AC480" i="2"/>
  <c r="AB468" i="2"/>
  <c r="AC468" i="2" s="1"/>
  <c r="AC467" i="2"/>
  <c r="AB466" i="2"/>
  <c r="AC466" i="2" s="1"/>
  <c r="AB461" i="2"/>
  <c r="AC461" i="2" s="1"/>
  <c r="AC460" i="2"/>
  <c r="AB460" i="2"/>
  <c r="AC454" i="2"/>
  <c r="AC452" i="2"/>
  <c r="AD446" i="2"/>
  <c r="AC446" i="2"/>
  <c r="AC443" i="2"/>
  <c r="AC442" i="2"/>
  <c r="AC436" i="2"/>
  <c r="AE429" i="2"/>
  <c r="AD429" i="2"/>
  <c r="AB429" i="2"/>
  <c r="AC429" i="2" s="1"/>
  <c r="AB427" i="2"/>
  <c r="AC427" i="2" s="1"/>
  <c r="AB421" i="2"/>
  <c r="AC421" i="2" s="1"/>
  <c r="AB411" i="2"/>
  <c r="AC411" i="2" s="1"/>
  <c r="AB410" i="2"/>
  <c r="AC410" i="2" s="1"/>
  <c r="AB409" i="2"/>
  <c r="AC409" i="2" s="1"/>
  <c r="AD408" i="2"/>
  <c r="AD377" i="2" s="1"/>
  <c r="AD378" i="2" s="1"/>
  <c r="AD379" i="2" s="1"/>
  <c r="AB408" i="2"/>
  <c r="AC408" i="2" s="1"/>
  <c r="AB407" i="2"/>
  <c r="AC407" i="2" s="1"/>
  <c r="AC406" i="2"/>
  <c r="AB401" i="2"/>
  <c r="AC401" i="2" s="1"/>
  <c r="AD399" i="2"/>
  <c r="AB399" i="2"/>
  <c r="AC399" i="2" s="1"/>
  <c r="AB397" i="2"/>
  <c r="AC397" i="2" s="1"/>
  <c r="AD396" i="2"/>
  <c r="AB396" i="2"/>
  <c r="AC396" i="2" s="1"/>
  <c r="AB395" i="2"/>
  <c r="AC395" i="2" s="1"/>
  <c r="AB394" i="2"/>
  <c r="AC394" i="2" s="1"/>
  <c r="AB388" i="2"/>
  <c r="AC388" i="2" s="1"/>
  <c r="AB387" i="2"/>
  <c r="AC387" i="2" s="1"/>
  <c r="AB381" i="2"/>
  <c r="AC381" i="2" s="1"/>
  <c r="AB380" i="2"/>
  <c r="AC380" i="2" s="1"/>
  <c r="AB379" i="2"/>
  <c r="AC379" i="2" s="1"/>
  <c r="AC378" i="2"/>
  <c r="AB378" i="2"/>
  <c r="AB377" i="2"/>
  <c r="AC377" i="2" s="1"/>
  <c r="AC376" i="2"/>
  <c r="AC375" i="2"/>
  <c r="AC369" i="2"/>
  <c r="AB367" i="2"/>
  <c r="AC367" i="2" s="1"/>
  <c r="AD365" i="2"/>
  <c r="AD493" i="2" s="1"/>
  <c r="AB365" i="2"/>
  <c r="AC365" i="2" s="1"/>
  <c r="AC359" i="2"/>
  <c r="AC353" i="2"/>
  <c r="AB346" i="2"/>
  <c r="AC346" i="2" s="1"/>
  <c r="AC332" i="2"/>
  <c r="AB332" i="2"/>
  <c r="AC326" i="2"/>
  <c r="AC320" i="2"/>
  <c r="AC314" i="2"/>
  <c r="AB312" i="2"/>
  <c r="AC312" i="2" s="1"/>
  <c r="AC305" i="2"/>
  <c r="AB305" i="2"/>
  <c r="AC285" i="2"/>
  <c r="AC283" i="2"/>
  <c r="AC266" i="2"/>
  <c r="AC263" i="2"/>
  <c r="AB257" i="2"/>
  <c r="AC253" i="2"/>
  <c r="AC247" i="2"/>
  <c r="AC241" i="2"/>
  <c r="AC228" i="2"/>
  <c r="AB226" i="2"/>
  <c r="AC224" i="2"/>
  <c r="AE218" i="2"/>
  <c r="AE224" i="2" s="1"/>
  <c r="AD218" i="2"/>
  <c r="AD224" i="2" s="1"/>
  <c r="AC218" i="2"/>
  <c r="AC212" i="2"/>
  <c r="AC206" i="2"/>
  <c r="AB200" i="2"/>
  <c r="AC198" i="2"/>
  <c r="AC177" i="2"/>
  <c r="AB175" i="2"/>
  <c r="AC173" i="2"/>
  <c r="AC167" i="2" s="1"/>
  <c r="AB167" i="2"/>
  <c r="AC159" i="2"/>
  <c r="AC153" i="2"/>
  <c r="AC147" i="2"/>
  <c r="AC141" i="2"/>
  <c r="AC135" i="2"/>
  <c r="AC129" i="2"/>
  <c r="AB117" i="2"/>
  <c r="AD115" i="2"/>
  <c r="AC115" i="2"/>
  <c r="AB109" i="2"/>
  <c r="AC109" i="2" s="1"/>
  <c r="AB103" i="2"/>
  <c r="AC103" i="2" s="1"/>
  <c r="AC101" i="2"/>
  <c r="AC95" i="2"/>
  <c r="AC89" i="2"/>
  <c r="AC83" i="2"/>
  <c r="AC77" i="2"/>
  <c r="AC71" i="2"/>
  <c r="AC65" i="2"/>
  <c r="AE59" i="2"/>
  <c r="AE65" i="2" s="1"/>
  <c r="AE71" i="2" s="1"/>
  <c r="AC59" i="2"/>
  <c r="AC53" i="2"/>
  <c r="AC47" i="2"/>
  <c r="AC41" i="2"/>
  <c r="AC35" i="2"/>
  <c r="AB29" i="2"/>
  <c r="AD23" i="2"/>
  <c r="AD29" i="2" s="1"/>
  <c r="AD35" i="2" s="1"/>
  <c r="AD41" i="2" s="1"/>
  <c r="AD47" i="2" s="1"/>
  <c r="AD53" i="2" s="1"/>
  <c r="AD59" i="2" s="1"/>
  <c r="AD65" i="2" s="1"/>
  <c r="AD71" i="2" s="1"/>
  <c r="AC23" i="2"/>
  <c r="AC17" i="2"/>
  <c r="AC226" i="2" l="1"/>
  <c r="AB775" i="2"/>
  <c r="AB826" i="2"/>
  <c r="AC175" i="2"/>
  <c r="AC974" i="2"/>
  <c r="AC775" i="2"/>
  <c r="AC826" i="2"/>
  <c r="AC878" i="2"/>
  <c r="AB14" i="2"/>
  <c r="AC117" i="2"/>
  <c r="AC200" i="2"/>
  <c r="AC257" i="2"/>
  <c r="AC368" i="2"/>
  <c r="AC930" i="2"/>
  <c r="AD387" i="2"/>
  <c r="AD409" i="2" s="1"/>
  <c r="AD411" i="2" s="1"/>
  <c r="AD427" i="2" s="1"/>
  <c r="AD380" i="2"/>
  <c r="AD381" i="2"/>
  <c r="AD388" i="2" s="1"/>
  <c r="AD410" i="2" s="1"/>
  <c r="AD421" i="2" s="1"/>
  <c r="AD512" i="2"/>
  <c r="AD553" i="2"/>
  <c r="AD516" i="2" s="1"/>
  <c r="AD533" i="2" s="1"/>
  <c r="AD545" i="2" s="1"/>
  <c r="AD522" i="2" s="1"/>
  <c r="AD514" i="2"/>
  <c r="AD539" i="2" s="1"/>
  <c r="AD551" i="2" s="1"/>
  <c r="AC29" i="2"/>
  <c r="AC14" i="2" s="1"/>
  <c r="AB368" i="2"/>
  <c r="AB979" i="2" l="1"/>
  <c r="AC979" i="2"/>
  <c r="C28" i="1" l="1"/>
  <c r="C21" i="1"/>
  <c r="C17" i="1"/>
  <c r="C5" i="1"/>
  <c r="C33" i="1" l="1"/>
  <c r="S630" i="4"/>
  <c r="AA630" i="4" s="1"/>
  <c r="AA692" i="4" s="1"/>
  <c r="R631" i="4" l="1"/>
  <c r="S14" i="4"/>
  <c r="S692" i="4" l="1"/>
</calcChain>
</file>

<file path=xl/sharedStrings.xml><?xml version="1.0" encoding="utf-8"?>
<sst xmlns="http://schemas.openxmlformats.org/spreadsheetml/2006/main" count="11262" uniqueCount="1566">
  <si>
    <t>NO</t>
  </si>
  <si>
    <t>Uraian/ Jenis Aset Tetap</t>
  </si>
  <si>
    <t>A</t>
  </si>
  <si>
    <t>TANAH</t>
  </si>
  <si>
    <t>B</t>
  </si>
  <si>
    <t>PERALATAN &amp; MESIN</t>
  </si>
  <si>
    <t>Alat-alat Berat/Besar</t>
  </si>
  <si>
    <t>Alat-alat Angkutan</t>
  </si>
  <si>
    <t>Alat-alat Bengkel</t>
  </si>
  <si>
    <t>Alat Pertanian dan Peternakan</t>
  </si>
  <si>
    <t>Alat-alat Kantor &amp; Rumah Tangga</t>
  </si>
  <si>
    <t>Alat Studio dan Komunikasi</t>
  </si>
  <si>
    <t>Alat Ukur</t>
  </si>
  <si>
    <t xml:space="preserve">                         - </t>
  </si>
  <si>
    <t>Alat-alat Kedokteran</t>
  </si>
  <si>
    <t>Alat-alat Laboratorium</t>
  </si>
  <si>
    <t>Alat-alat Keamanan</t>
  </si>
  <si>
    <t>C</t>
  </si>
  <si>
    <t>GEDUNG DAN BANGUNAN</t>
  </si>
  <si>
    <t>Bangunan Gedung</t>
  </si>
  <si>
    <t>Bangunan Monumen</t>
  </si>
  <si>
    <t>D</t>
  </si>
  <si>
    <t>JALAN, IRIGASI dan JARINGAN</t>
  </si>
  <si>
    <t>Jalan dan Jembatan</t>
  </si>
  <si>
    <t>Bangunan Air (Irigasi)</t>
  </si>
  <si>
    <t>Penerangan Jalan, Taman &amp; Hutan Kota</t>
  </si>
  <si>
    <t>Instalasi</t>
  </si>
  <si>
    <t>Jaringan</t>
  </si>
  <si>
    <t>E</t>
  </si>
  <si>
    <t>ASET TETAP LAINNYA</t>
  </si>
  <si>
    <t>Buku dan Perpustakaan</t>
  </si>
  <si>
    <t>Barang bercorak Kesenian/ Bud.</t>
  </si>
  <si>
    <t>Hewan/Ternak dan Tumbuhan</t>
  </si>
  <si>
    <t>Sarana Olah Raga</t>
  </si>
  <si>
    <t>Jumlah</t>
  </si>
  <si>
    <t xml:space="preserve">Saldo Akhir  
Per 31 - 12 – 2015 </t>
  </si>
  <si>
    <t>Nomor Kode Urusan, Program dan Kegiatan</t>
  </si>
  <si>
    <t>Alokasi Dana APBD</t>
  </si>
  <si>
    <t>Keterangan</t>
  </si>
  <si>
    <t>Pagu Indikatif (Ribuan)</t>
  </si>
  <si>
    <t>Prakiraan Maju (Ribuan)</t>
  </si>
  <si>
    <t>SKPD</t>
  </si>
  <si>
    <t>Jenis Kegiatan</t>
  </si>
  <si>
    <t>Target</t>
  </si>
  <si>
    <t>1/2/3</t>
  </si>
  <si>
    <t>3</t>
  </si>
  <si>
    <t>4</t>
  </si>
  <si>
    <t>5</t>
  </si>
  <si>
    <t>6</t>
  </si>
  <si>
    <t>7</t>
  </si>
  <si>
    <t>8</t>
  </si>
  <si>
    <t>9</t>
  </si>
  <si>
    <t>10</t>
  </si>
  <si>
    <t>11</t>
  </si>
  <si>
    <t>12</t>
  </si>
  <si>
    <t>13</t>
  </si>
  <si>
    <t>14</t>
  </si>
  <si>
    <t>15</t>
  </si>
  <si>
    <t>URUSAN</t>
  </si>
  <si>
    <t>Semua Urusan</t>
  </si>
  <si>
    <t>PROGRAM</t>
  </si>
  <si>
    <t>PELAYANAN ADMINISTRASI PERKANTORAN</t>
  </si>
  <si>
    <t>- Dikpora, UPT, SKB dan sekolah</t>
  </si>
  <si>
    <t>KEGIATAN</t>
  </si>
  <si>
    <t>Penyediaan Jasa Surat Menyurat</t>
  </si>
  <si>
    <t>Dikpora, UPT, SKB &amp; sekolah</t>
  </si>
  <si>
    <t>Dinas Dikpora</t>
  </si>
  <si>
    <t>Sedang Berjalan</t>
  </si>
  <si>
    <t>Penyediaan Jasa Komunikasi, Sumber Daya Air dan Listrik</t>
  </si>
  <si>
    <t>Penyediaan Jasa Peralatan dan Perlengkapan Kantor, gedung dan tanah</t>
  </si>
  <si>
    <t>Sekolah &amp; 18 UPT</t>
  </si>
  <si>
    <t>Penyediaan Jasa Pemeliharaan dan Perizinan Kendaraan Dinas/operasional</t>
  </si>
  <si>
    <t>Dinas, 10 Sekolah</t>
  </si>
  <si>
    <t>Dinas, UPT</t>
  </si>
  <si>
    <t>Penyediaan Jasa Kebersihan Kantor</t>
  </si>
  <si>
    <t>Dinas</t>
  </si>
  <si>
    <t>Penyediaan Jasa Perbaikan Peralatan Kerja</t>
  </si>
  <si>
    <t>Penyediaan Alat Tulis Kantor</t>
  </si>
  <si>
    <t>Dinas, Sekolah &amp; UPT</t>
  </si>
  <si>
    <t>Dinas, UPT, Sekolah &amp; SKB</t>
  </si>
  <si>
    <t>Penyediaan Peralatan dan Perlengkapan Kantor</t>
  </si>
  <si>
    <t>Sedang berjalan</t>
  </si>
  <si>
    <t>Penyediaan peralatan rumah tangga</t>
  </si>
  <si>
    <t>Dinas, SKB, UPT &amp; Sekolah</t>
  </si>
  <si>
    <t>Dinas dikpora</t>
  </si>
  <si>
    <t>Penyediaan Bahan Bacaan dan Peraturan Perundang - undangan</t>
  </si>
  <si>
    <t>Penyediaan Makanan dan Minuman</t>
  </si>
  <si>
    <t>Rapat - rapat koordinasi dan konsultasi keluar daerah</t>
  </si>
  <si>
    <t>Penyediaan Jasa Tenaga Administrasi/Tehnik Perkantoran</t>
  </si>
  <si>
    <t>UPT &amp; Sekolah</t>
  </si>
  <si>
    <t>Pendataan dan pengelolaan arsip SKPD</t>
  </si>
  <si>
    <t>PENINGKATAN SARANA DAN PRASARANA APARATUR</t>
  </si>
  <si>
    <t>- Dikpora</t>
  </si>
  <si>
    <t>Pembangunan gedung kantor</t>
  </si>
  <si>
    <t>Dinas Dikpora dan UPT TK &amp; SD Kec. Semin</t>
  </si>
  <si>
    <t>Pengadaan perlengkapan gedung kantor</t>
  </si>
  <si>
    <t>Pengadaan Mebelair</t>
  </si>
  <si>
    <t>Dinas, UPT &amp; Sekolah</t>
  </si>
  <si>
    <t>Pemeliharaan Rutin / Berkala gedung kantor</t>
  </si>
  <si>
    <t>Pemeliharaan Rutin / Berkala kendaraan dinas / operasional</t>
  </si>
  <si>
    <t>Pemeliharaan Rutin / Berkala Peralatan Gedung Kantor</t>
  </si>
  <si>
    <t>Dinas, UPT, SKB, Sekolah</t>
  </si>
  <si>
    <t>Pemeliharaan Rutin / Berkala Mebelair</t>
  </si>
  <si>
    <t>Rehabilitasi gedung kantor</t>
  </si>
  <si>
    <t>Dinas dikpora dan UPT Tepus</t>
  </si>
  <si>
    <t>Usulan sejak 2009</t>
  </si>
  <si>
    <t>PENINGKATAN DISIPLIN APARATUR</t>
  </si>
  <si>
    <t>Penatalaksanaan Kepegawaian SKPD</t>
  </si>
  <si>
    <t>PENINGKATAN KAPASITAS SUMBER DAYA APARATUR</t>
  </si>
  <si>
    <t>1. Dinas dikpora</t>
  </si>
  <si>
    <t>Pendidikan dan Pelatihan Formal</t>
  </si>
  <si>
    <t>Penilaian angka kredit tenaga fungsional SKPD</t>
  </si>
  <si>
    <t xml:space="preserve">Dinas </t>
  </si>
  <si>
    <t>PENINGKATAN PENGEMBANGAN SISTEM PELAPORAN CAPAIAN KINERJA DAN KEUANGAN</t>
  </si>
  <si>
    <t xml:space="preserve">Penyusunan Laporan Capaian Kinerja dan Ikhtisar Realisasi Kinerja SKPD </t>
  </si>
  <si>
    <t>Dinas, UPT TK &amp; SD, Seklah, SKB</t>
  </si>
  <si>
    <t>Penyusunan Pelaporan Keuangan Semesteran</t>
  </si>
  <si>
    <t>Penyusunan Pelaporan Keuangan Akhir Tahun</t>
  </si>
  <si>
    <t>Penyusunan Pelaporan Keuangan bulanan/SPJ</t>
  </si>
  <si>
    <t>PROGRAM PENINGKATAN KUALITAS PELAYANAN PUBLIK</t>
  </si>
  <si>
    <t>Dinas, SKB, UPT dan Sekolah</t>
  </si>
  <si>
    <t>Pengelolaan data dan sistem informasi SKPD</t>
  </si>
  <si>
    <t>Penyusunan Indeks Kepuasan Masyarakat (IKM) SKPD</t>
  </si>
  <si>
    <t>Pengendalian Internal SKPD</t>
  </si>
  <si>
    <t>Evaluasi dan pelaporan pencapaian Standar Pelayanan Minimal (SPM)</t>
  </si>
  <si>
    <t>PROGRAM PENINGKATAN KUALITAS PERENCANAAN</t>
  </si>
  <si>
    <t>Penyusunan dan Evaluasi Rencana Strategis SKPD</t>
  </si>
  <si>
    <t>SKB, UPT dan Sekolah</t>
  </si>
  <si>
    <t>Penyusunan dan evaluasi rencana kerja SKPD</t>
  </si>
  <si>
    <t>Monitoring, evaluasi dan pengendalian program kegiatan  SKPD</t>
  </si>
  <si>
    <t>URUSAN WAJIB</t>
  </si>
  <si>
    <t>01</t>
  </si>
  <si>
    <t>PENDIDIKAN</t>
  </si>
  <si>
    <t>Program Pendidikan Anak Usia Dini</t>
  </si>
  <si>
    <t>Dinas, UPT, Sekolah</t>
  </si>
  <si>
    <t>Pembangunan gedung PAUD</t>
  </si>
  <si>
    <t>12 TK Pembina Kecamatan dan PAUD Unggulan Kecamatan</t>
  </si>
  <si>
    <t>12 TK Pembina</t>
  </si>
  <si>
    <t>Pemeliharaan  rutin/berkala bangunan sekolah</t>
  </si>
  <si>
    <t xml:space="preserve">18 UPT TK </t>
  </si>
  <si>
    <t xml:space="preserve">Dinas Dikpora </t>
  </si>
  <si>
    <t>12 TK Pembina Kecamatan</t>
  </si>
  <si>
    <t>560 TK Swasta</t>
  </si>
  <si>
    <t>656 PAUD</t>
  </si>
  <si>
    <t>18 UPT TK &amp; SD</t>
  </si>
  <si>
    <t>Pengembangan pendidikan anak usia dini</t>
  </si>
  <si>
    <t>18 Kecamatan</t>
  </si>
  <si>
    <t>Penyelenggaraan pendidikan anak usia dini</t>
  </si>
  <si>
    <t>SKB</t>
  </si>
  <si>
    <t>Pengembangan data dan informasi pendidikan Anak Usia Dini</t>
  </si>
  <si>
    <t>Kab. GK</t>
  </si>
  <si>
    <t xml:space="preserve">Pengembangan kurikulum,bahan ajar dan model pembelajaran Pendidikan Anak Usia Dini </t>
  </si>
  <si>
    <t>Dinas dan UPT</t>
  </si>
  <si>
    <t>Program Pendidikan Dasar SD</t>
  </si>
  <si>
    <t>Dinas Dikpora, UPT TK &amp; SD, Sekolah</t>
  </si>
  <si>
    <t>Pembangunan gedung SD/MI (ruang kelas, ruang guru, perpustakaan, laboratorium, jaga dll)</t>
  </si>
  <si>
    <t>Sekolah</t>
  </si>
  <si>
    <t>Pemeliharaan rutin/berkala bangunan sekolah SD/MI</t>
  </si>
  <si>
    <t>Rehabilitasi bangunan sekolah SD/MI</t>
  </si>
  <si>
    <t>Pengadaan sarana prasarana sekolah (mebelair, alat peraga, perlengkapan KBM, sanitasi, dll)</t>
  </si>
  <si>
    <t>Pemeliharaan sarana prasarana sekolah SD/MI</t>
  </si>
  <si>
    <t>Pelatihan kompetensi siswa SD / MI berprestasi</t>
  </si>
  <si>
    <t>Pelatihan penyusunan kurikulum SD/MI</t>
  </si>
  <si>
    <t>Penyelenggaraan Paket A setara SD</t>
  </si>
  <si>
    <t>1. Kelompok UNPK</t>
  </si>
  <si>
    <t>UPT</t>
  </si>
  <si>
    <t xml:space="preserve">Pembinaan Minat, Bakat dan Kreativitas </t>
  </si>
  <si>
    <t>Pengembangan materi belajar mengajar dan metode pembelajaran dengan menggunakan teknologi informasi SD/MI</t>
  </si>
  <si>
    <t>Penyelenggaraan Akreditasi Sekolah Dasar</t>
  </si>
  <si>
    <t>Pemberian Makanan Tambahan bagi Anak Sekolah (PMTAS)</t>
  </si>
  <si>
    <t>Dinas dan Sekolah</t>
  </si>
  <si>
    <t>Program Pendidikan Dasar SMP</t>
  </si>
  <si>
    <t>Pembangunan gedung (ruang kelas, ruang guru, perpustakaan, laboratorium, jaga dll) SMP/MTs</t>
  </si>
  <si>
    <t>Pemeliharaan rutin/berkala bangunan sekolah SMP/MTs</t>
  </si>
  <si>
    <t>Rehabilitasi bangunan sekolah SMP/MTs</t>
  </si>
  <si>
    <t>Pengadaan sarana prasarana sekolah (mebelair, alat peraga, perlengkapan KBM, sanitasi) SMP/MTs</t>
  </si>
  <si>
    <t>Pemeliharaan sarana prasarana sekolah SMP/MTs</t>
  </si>
  <si>
    <t>Pelatihan Kompetensi Siswa Berprestasi SMP/MTs</t>
  </si>
  <si>
    <t>Pelatihan penyusunan kurikulum SMP/MTs</t>
  </si>
  <si>
    <t>Penyelenggaraan paket B setara SMP</t>
  </si>
  <si>
    <t>22 kelompok</t>
  </si>
  <si>
    <t>Pembinaan Minat, Bakat dan Kreativitas SMP/MTs</t>
  </si>
  <si>
    <t>Pengembangan contactual teaching and learning (CTL) SMP/MTs</t>
  </si>
  <si>
    <t>Dikpora</t>
  </si>
  <si>
    <t>Pengembangan materi belajar mengajar dan metode pembelajaran dengan menggunakan teknologi informasi SMP/MTs</t>
  </si>
  <si>
    <t>Penyelenggaraan Akreditasi Sekolah Dasar SMP/MTs</t>
  </si>
  <si>
    <t>PROGRAM PENDIDIKAN MENENGAH</t>
  </si>
  <si>
    <t>Dinas dan sekolah</t>
  </si>
  <si>
    <t>Pemeliharaan rutin/berkala bangunan sekolah SMA/SMK</t>
  </si>
  <si>
    <t>Dinas Dikpora, Sekolah</t>
  </si>
  <si>
    <t>Pemeliharaan sarana prasarana sekolah SMA/SMK</t>
  </si>
  <si>
    <t>Pelatihan Kompetensi Siswa Berprestasi SMA/SMK</t>
  </si>
  <si>
    <t>Pelatihan penyusunan kurikulum SMA/SMK</t>
  </si>
  <si>
    <t>Penyelenggaraan paket C setara SMU</t>
  </si>
  <si>
    <t>Pembinaan kelembagaan dan manajemen sekolah dengan penerapan manajemen berbasis sekolah (MBS) SMA/SMK</t>
  </si>
  <si>
    <t>Dinas, Sekolah</t>
  </si>
  <si>
    <t>Tanjungsari</t>
  </si>
  <si>
    <t>Pembinaan Minat, Bakat dan Kreativitas SMA/SMK</t>
  </si>
  <si>
    <t>Pengembangan materi belajar mengajar dan metode pembelajaran dengan menggunakan teknologi informasi SMA/SMK</t>
  </si>
  <si>
    <t>Penyelenggaraan akreditasi sekolah menengah</t>
  </si>
  <si>
    <t>Peningkatan Mutu Pendidik dan Tenaga Kependidikan Tingkat SD</t>
  </si>
  <si>
    <t>Pelatihan kompetensi tenaga pendidik SD/MI</t>
  </si>
  <si>
    <t>Pembinaan kelompok kerja guru (KKG)</t>
  </si>
  <si>
    <t>Pelatihan penilaian kinerja guru/Kepala Sekolah SD/MI</t>
  </si>
  <si>
    <t>Pengembangan sistem penghargaan dan perlindungan terhadap profesi pendidikan SD/MI</t>
  </si>
  <si>
    <t>Peningkatan Mutu Pendidik dan Tenaga Kependidikan Tingkat SMP</t>
  </si>
  <si>
    <t>Pelatihan kompetensi tenaga pendidik SMP/MTs</t>
  </si>
  <si>
    <t>Pelatihan penilaian kinerja guru/Kepala Sekolah SMP/MTS</t>
  </si>
  <si>
    <t>Pembinaan Kelompok Kerja Guru  MGMP SMP/MTS</t>
  </si>
  <si>
    <t>Pengembangan sistem penghargaan dan perlindungan terhadap profesi pendidikan SMP/MTs</t>
  </si>
  <si>
    <t>Peningkatan Mutu Pendidik dan Tenaga Kependidikan Tingkat Menengah</t>
  </si>
  <si>
    <t>Pembinaan Kelompok Kerja Guru  MGMP sekolah menengah</t>
  </si>
  <si>
    <t>Pengembangan sistem penghargaan dan perlindungan terhadap profesi pendidikan</t>
  </si>
  <si>
    <t>Program Pendidikan Non Formal</t>
  </si>
  <si>
    <t>Dinas, SKB</t>
  </si>
  <si>
    <t>Pemberdayaan tenaga pendidik non formal</t>
  </si>
  <si>
    <t>Pemberian bantuan operasional pendidikan non formal</t>
  </si>
  <si>
    <t>Pembinaan pendidikan kursus dan kelembagaan</t>
  </si>
  <si>
    <t>Pengembangan pendidikan keaksaraan</t>
  </si>
  <si>
    <t>Pengembangan pendidikan kecakapan hidup</t>
  </si>
  <si>
    <t>Penyediaan sarana dan prasarana pendidikan non formal</t>
  </si>
  <si>
    <t>Pengembangan data dan informasi Pendidikan non formal</t>
  </si>
  <si>
    <t>Pengembangan kurikulum, bahan ajar dan model pembelajaran pendidikan non formal</t>
  </si>
  <si>
    <t>Manajemen Pelayanan Pendidikan</t>
  </si>
  <si>
    <t>Pelaksanaan Evaluasi Hasil Kinerja Bidang Pendidikan</t>
  </si>
  <si>
    <t>Pelaksanaan Kerjasama secara Kelembagaan di bidang Pendidikan</t>
  </si>
  <si>
    <t>Pengendalian dan pengawasan penerapan azaz efisiensi dan efektifitas penggunaan dana</t>
  </si>
  <si>
    <t>520 sekolah</t>
  </si>
  <si>
    <t>Pembinaan dewan pendidikan</t>
  </si>
  <si>
    <t>Dinas dan dewan pendidikan</t>
  </si>
  <si>
    <t>Pembinaan Komite Sekolah</t>
  </si>
  <si>
    <t>Penerapan sistem dan informasi manajemen pendidikan</t>
  </si>
  <si>
    <t>Penyelenggaraan pelatihan, seminar dan lokakarya serta diskusi ilmiah tentang berbagai isu pendidikan</t>
  </si>
  <si>
    <t>SMK 1 Wonosari</t>
  </si>
  <si>
    <t>BIDANG PEMUDA DAN OLAHRAGA</t>
  </si>
  <si>
    <t>PENINGKATAN PERAN SERTA KEPEMUDAAN</t>
  </si>
  <si>
    <t>Pembinaan organisasi kepemudaan</t>
  </si>
  <si>
    <t>Gunungkidul</t>
  </si>
  <si>
    <t>Pendidikan dan Pelatihan Dasar Kepemimpinan</t>
  </si>
  <si>
    <t>Kota Wonosari</t>
  </si>
  <si>
    <t>Lomba kreasi dan karya tulis ilmiah dikalangan pemuda</t>
  </si>
  <si>
    <t>Pembinaan Pemuda Pelopor Keamanan Lingkungan</t>
  </si>
  <si>
    <t>Peningkatan Keimanan dan Ketaqwaan Kepemudaan</t>
  </si>
  <si>
    <t>Pembentukan Paskibraka</t>
  </si>
  <si>
    <t>Peningkatan upaya penumbuhan kewirausahaan dan kecakapan hidup pemuda</t>
  </si>
  <si>
    <t>Pelatihan kewirausahaan</t>
  </si>
  <si>
    <t>5 Kecamatan</t>
  </si>
  <si>
    <t>Pembinaan dan Pemasyarakatan Olahraga</t>
  </si>
  <si>
    <t>Pembibitan dan Pembinaan Olahragawan Berbakat</t>
  </si>
  <si>
    <t>Pembinaan Cabang Olahraga Prestasi di Daerah</t>
  </si>
  <si>
    <t>Peningkatan Kesegaran Jasmani dan Rekreasi</t>
  </si>
  <si>
    <t>Penyelenggaraan Kompetisi Olahraga</t>
  </si>
  <si>
    <t>Pengembangan Olahraga Rekreasi</t>
  </si>
  <si>
    <t xml:space="preserve">Alun-alun Wns, Ponjong, Karangmojo, Tepus, Nglipar, Playen, Girisubo, Semanu, Semin, Paliyan, Panggang, Patuk &amp; Ngawen </t>
  </si>
  <si>
    <t xml:space="preserve">PROGRAM </t>
  </si>
  <si>
    <t>Peningkatan Sarana dan Prasarana Olahraga</t>
  </si>
  <si>
    <t>Dinas dan Kecamatan</t>
  </si>
  <si>
    <t>Pemeliharaan Rutin/Berkala Sarana dan Prasarana Olahraga</t>
  </si>
  <si>
    <t>- Stadion   Handayani Kab. Gunungkidul</t>
  </si>
  <si>
    <t>JUMLAH</t>
  </si>
  <si>
    <t>Kabupaten Gunungkidul</t>
  </si>
  <si>
    <t>Tabel 5.2</t>
  </si>
  <si>
    <t>Rencana Program Kegiatan, Indikator Kinerja, dan Pendanaan Indikatif Dinas Pendidikan Pemuda dan Olahraga</t>
  </si>
  <si>
    <t>Tahun 2016-2021</t>
  </si>
  <si>
    <t>Tujuan</t>
  </si>
  <si>
    <t>Sasaran</t>
  </si>
  <si>
    <t>Indikator Sasaran</t>
  </si>
  <si>
    <t>Indikator Kinerja Program (Outcome) dan Kegiatan (Output)</t>
  </si>
  <si>
    <t>Data Capaian pada tahun Awal Perencanaan</t>
  </si>
  <si>
    <t>Tahun -1</t>
  </si>
  <si>
    <t>Rp</t>
  </si>
  <si>
    <t>Tahun -2</t>
  </si>
  <si>
    <t>Tahun -3</t>
  </si>
  <si>
    <t>Tahun -4</t>
  </si>
  <si>
    <t>Tahun -5</t>
  </si>
  <si>
    <t>Kondisi Kinerja pada Akhir Periode Renstra</t>
  </si>
  <si>
    <t>Unit Kerja Penanggung Jawab</t>
  </si>
  <si>
    <t>Lokasi</t>
  </si>
  <si>
    <t>Target Kinerja Program dan Kerangka Pendanaan</t>
  </si>
  <si>
    <t>16</t>
  </si>
  <si>
    <t>17</t>
  </si>
  <si>
    <t>18</t>
  </si>
  <si>
    <t>20</t>
  </si>
  <si>
    <t>21</t>
  </si>
  <si>
    <t>1</t>
  </si>
  <si>
    <t>2</t>
  </si>
  <si>
    <t>Meningkatnya capaian SPM  menuju Standar Nasional Pendidikan</t>
  </si>
  <si>
    <t>Meningkatnya cakupan anak putus sekolah terlayani pendidikan kesetaraan</t>
  </si>
  <si>
    <t>Progam dan Kegiatan</t>
  </si>
  <si>
    <t>Persentase Pemenuhan Kebutuhan Administrasi Perkantoran</t>
  </si>
  <si>
    <t>Masukan</t>
  </si>
  <si>
    <t>:</t>
  </si>
  <si>
    <t xml:space="preserve">Dana </t>
  </si>
  <si>
    <t>Keluaran</t>
  </si>
  <si>
    <t>Hasil</t>
  </si>
  <si>
    <t>Manfaat</t>
  </si>
  <si>
    <t>Tertib administrasi perkantoran</t>
  </si>
  <si>
    <t>Dampak</t>
  </si>
  <si>
    <t>Kelancaran pelaksanaan tugas</t>
  </si>
  <si>
    <t>1.</t>
  </si>
  <si>
    <t>Jumlah makanan dan minuman tersedia untuk rapat dan tamu</t>
  </si>
  <si>
    <t>Rupiah</t>
  </si>
  <si>
    <t>makanan dan minuman rapat 28000 OH, makanan dan minuman tamu 380 OH</t>
  </si>
  <si>
    <t>2.</t>
  </si>
  <si>
    <t>Frekuensi rapat konsultasi, dan koordinasi yang diikuti</t>
  </si>
  <si>
    <t>Dalam daerah =  13760 OP, Luar daerah = 150 OP, uang representasi 18 OP, tiket 1 LS, transport lokal 130 OP, penginapan 260 OH, Uang saku/uang harian 260 OH</t>
  </si>
  <si>
    <t>Persentase makanan dan minuman rapat dan tamu tersedia dengan baik</t>
  </si>
  <si>
    <t>Persentase rapat konsultasi, dan koordinasi yang terfasilitasi</t>
  </si>
  <si>
    <t>Penyediaaan Jasa, Peralatan, dan Perlengkapan Perkantoran</t>
  </si>
  <si>
    <t>Penyediaan Rapat-rapat, Konsultasi dan Koordinasi</t>
  </si>
  <si>
    <t>Pengadaaan / Pembangunan Sarana dan Prasarana Perkantoran</t>
  </si>
  <si>
    <t>PENINGKATAN SARANA DAN PRASARANA PERKANTORAN</t>
  </si>
  <si>
    <t>Dana</t>
  </si>
  <si>
    <t xml:space="preserve">Persentase Pemenuhan Kebutuhan sarana dan prasarana aparatur </t>
  </si>
  <si>
    <t>Jenis dan luasan yang dibangun = pembangunan gudang peralatan PO, taman dan pengerasan halaman Dinas Dikpora</t>
  </si>
  <si>
    <t>Gudang peralatan PO = 6 x 12, Taman = 576 m2</t>
  </si>
  <si>
    <t>Jumlah dan jenis perlengkapan kantor yang dibeli</t>
  </si>
  <si>
    <t>AC gedung utama, SKB, Paudni dan Laborat komputer sekolah 76 buah, Tabung pemadam kebakaran 10 buah, CCTV sekolah 102 buah, peralatan jaringan komputer 1 buah, jam dinding 102 buah, kipas angin kelas 102 KPA, Penambahan daya listrik 10 sekolah, tralis laborat sekolah 10 buah</t>
  </si>
  <si>
    <t>3.</t>
  </si>
  <si>
    <t>Jumlah dan jenis mebelair yang dibeli</t>
  </si>
  <si>
    <t xml:space="preserve">meja komputer SKB = 10 buah, kursi ruang komputer SKB 20 buah, meja ruang rapat gedung baru dikpora = 100 buah, kursi ruang rapat gedung baru dikpora 400 buah </t>
  </si>
  <si>
    <t>Pemeliharaan/Rehabilitasi Sarana dan Prasarana Perkantoran</t>
  </si>
  <si>
    <t>Persentase pemenuhan gedung kantor dalam kondisi baik</t>
  </si>
  <si>
    <t>Persentase jumlah dan jenis perlengkapan kantor dalam kondisi baik</t>
  </si>
  <si>
    <t>Persentase pemenuhan kebutuhan mebelair baru</t>
  </si>
  <si>
    <t>Jumlah dan jenis bangunan gedung yang dipelihara</t>
  </si>
  <si>
    <t>Pengecatan dinding 553 m, lantai 329 m, pintu &amp; jendela 287 buah , kamar mandi 97 ruang</t>
  </si>
  <si>
    <t>Jumlah dan jenis kendaraan dinas yang dipelihara</t>
  </si>
  <si>
    <t>servis dan penggantian suku cadang roda empat 100 buah, BBM roda dua 100 buah, BBM roda empat 8 buah, pengganti accu roda dua 100 buah, accu roda empat 8 buah</t>
  </si>
  <si>
    <t>Jumlah dan jenis peralatan gedung kantor yang dipelihara</t>
  </si>
  <si>
    <t>AC dll 24 buah</t>
  </si>
  <si>
    <t>4.</t>
  </si>
  <si>
    <t>Jumlah dan jenis mebelair yang dipelihara</t>
  </si>
  <si>
    <t>meja 8280 buah, kursi 47520 buah, almari 8280 buah</t>
  </si>
  <si>
    <t>Meningkatnya kepuasan masyarakat terhadap penyelenggaraan pelayanan publik</t>
  </si>
  <si>
    <t>Persentase pemenuhan bangunan gedung kantor dalam kondisi baik</t>
  </si>
  <si>
    <t>Persentase kendaraan dinas dalam kondisi baik</t>
  </si>
  <si>
    <t>Persentase peralatan gedung dalam kondisi baik</t>
  </si>
  <si>
    <t>Persentase mebelair dalam kondisi baik</t>
  </si>
  <si>
    <t>PENINGKATAN DISIPLIN DAN KAPASITAS APARATUR</t>
  </si>
  <si>
    <t>Penyelenggaraan Ketatalaksanaan dan Pengelolaan Kepegawaian Perangkat Daerah</t>
  </si>
  <si>
    <t>Jumlah ASN yang terfasilitasi</t>
  </si>
  <si>
    <t>Jumlah peserta yang dinyatakan lulus dalam workshop manajemen kepegawaian</t>
  </si>
  <si>
    <t>Jumlah pendidik SD dan TK yang terfasilitasi administrasi sertifikasi</t>
  </si>
  <si>
    <t>Jumlah pendidik SMP yang terfasilitasi administrasi sertifikasi</t>
  </si>
  <si>
    <t>Persentase ASN yang terfasilitasi dengan baik</t>
  </si>
  <si>
    <t>Terpenuhinya sarana perkantoran</t>
  </si>
  <si>
    <t>225 orang</t>
  </si>
  <si>
    <t>30 orang</t>
  </si>
  <si>
    <t>6000 orang</t>
  </si>
  <si>
    <t>1219 orang</t>
  </si>
  <si>
    <t xml:space="preserve">Pengembangan Kapasitas Aparatur </t>
  </si>
  <si>
    <t>6.</t>
  </si>
  <si>
    <t>5.</t>
  </si>
  <si>
    <t>- Seleksi Akademik calon kepala sekolah SD, SMP</t>
  </si>
  <si>
    <t>- Diklat Calon Kepala Sekolah</t>
  </si>
  <si>
    <t>- Diklat sertifikasi pengadaan barang &amp; jasa</t>
  </si>
  <si>
    <t>- Diklat pembinaan kerjasama tenaga administrasi dan pimpinan</t>
  </si>
  <si>
    <t>- Diklat Out Word Band</t>
  </si>
  <si>
    <t>Jumlah seminar yang dilaksanakan</t>
  </si>
  <si>
    <t>100 orang</t>
  </si>
  <si>
    <t>50 orang</t>
  </si>
  <si>
    <t>18 orang</t>
  </si>
  <si>
    <t>130 orang</t>
  </si>
  <si>
    <t>1 paket</t>
  </si>
  <si>
    <t>- Seleksi Administrasi calon kepala sekolah SD (80 orang), SMP (20 orang)</t>
  </si>
  <si>
    <t>- Diklat calon kepala sekolah SD, SMP</t>
  </si>
  <si>
    <t>Meningkatnya kompetensi guru, kepala sekolah, pengawas dan penilik tentang berbagai isu pendidikan</t>
  </si>
  <si>
    <t>Penilaian angka kredit tenaga fungsional Perangkat Daerah</t>
  </si>
  <si>
    <t>Jumlah tenaga fungsional yang lulus penilaian PAK</t>
  </si>
  <si>
    <t>132 orang</t>
  </si>
  <si>
    <t>Persentase tenaga fungsional yang terfasilitasi</t>
  </si>
  <si>
    <t>Persentase Laporan Keuangan yang disusun  tepat waktu dan akuntabel</t>
  </si>
  <si>
    <t>PENINGKATAN KUALITAS PELAPORAN KEUANGAN PERANGKAT DAERAH</t>
  </si>
  <si>
    <t>Penyusunan Laporan Keuangan Perangkat Daerah</t>
  </si>
  <si>
    <t>Perencanaan Kinerja Perangkat Daerah</t>
  </si>
  <si>
    <t>Pengendalian Internal Perangkat Daerah</t>
  </si>
  <si>
    <t>Pengelolaan data dan sistem informasi Perangkat Daerah</t>
  </si>
  <si>
    <t>Penyelenggaraan Pelayanan Publik</t>
  </si>
  <si>
    <t>Implementasi, Evaluasi dan Pelaporan Pencapaian Standar Pelayanan Minimal (SPM)</t>
  </si>
  <si>
    <t>Pembangunan/rehabilitasi Bangunan Sekolah PAUD</t>
  </si>
  <si>
    <t>Pengadaan dan Pemeliharaan Sarana dan Prasarana PAUD</t>
  </si>
  <si>
    <t>Pembinaan Satuan PAUD</t>
  </si>
  <si>
    <t>Pembangunan/rehabilitasi Bangunan dan Pengadaan Sarana Prasarana Sekolah Dasar</t>
  </si>
  <si>
    <t>Pemeliharaan Bangunan dan Sarana Prasarana Sekolah Dasar</t>
  </si>
  <si>
    <t>Peningkatan Kompetensi Siswa dan Tenaga Kependidikan SD</t>
  </si>
  <si>
    <t>Peningkatan Kualitas Kurikulum dan Manajemen Pendidikan SD</t>
  </si>
  <si>
    <t>Pembinaan Kelembagaan dan manajemen sekolah tingkat SD</t>
  </si>
  <si>
    <t>Pembangunan/rehabilitasi Bangunan dan Pengadaan Sarana Prasarana SMP</t>
  </si>
  <si>
    <t>Pemeliharaan Bangunan dan Sarana Prasarana SMP</t>
  </si>
  <si>
    <t>Peningkatan Kompetensi Siswa dan Tenaga Kependidikan SMP</t>
  </si>
  <si>
    <t>Peningkatan Kualitas Kurikulum dan Manajemen Pendidikan SMP</t>
  </si>
  <si>
    <t>Pembinaan kelembagaan dan manajemen sekolah tingkat SMP</t>
  </si>
  <si>
    <t>Program Pendidikan Masyarakat</t>
  </si>
  <si>
    <t>Penyelenggaraan Pendidikan Kesetaraan dan Keaksaraan</t>
  </si>
  <si>
    <t>Penyelenggaraan Kecakapan Hidup</t>
  </si>
  <si>
    <t>Pengembangan percontohan pendidikan kesetaraan dan kursus institusional</t>
  </si>
  <si>
    <t>PENINGKATAN PERAN SERTA KEPEMUDAAN DAN KEMANDIRIAN PEMUDA</t>
  </si>
  <si>
    <t>Pembinaan Generasi Muda</t>
  </si>
  <si>
    <t>Pembinaan Paskibraka</t>
  </si>
  <si>
    <t>Pembinaan, pembibitan, dan Penyelenggaraan Kompetisi dan Prestasi Olah Raga</t>
  </si>
  <si>
    <t>Pembangunan dan Pemeliharaan Sarana Prasarana Olah Raga</t>
  </si>
  <si>
    <t>7.</t>
  </si>
  <si>
    <t>Jumlah pengangkatan ASN /P3K (Pengangkatan Pegawai berdasarkan Perjanjian Kontrak)</t>
  </si>
  <si>
    <t>- Jenjang SD</t>
  </si>
  <si>
    <t>105 Orang</t>
  </si>
  <si>
    <t>- Janjang PAUD</t>
  </si>
  <si>
    <t>467 Orang</t>
  </si>
  <si>
    <t>Terpenuhinya kebutuhan Pendidik (Guru)</t>
  </si>
  <si>
    <t>572 Orang</t>
  </si>
  <si>
    <t>Jumlah dokumen laporan keuagan semesteran yang terselesaikan</t>
  </si>
  <si>
    <t>2 dokumen</t>
  </si>
  <si>
    <t>Jumlah dokumen Laporan Keuangan Akhir Tahun yang terselesaikan</t>
  </si>
  <si>
    <t>10 dokumen</t>
  </si>
  <si>
    <t>Jumlah dokumen Laporan Keuangan Bulanan yang terselesaikan</t>
  </si>
  <si>
    <t>12 dokumen</t>
  </si>
  <si>
    <t>Dokumen laporan semesteran tersusun tepat waktu dan baik</t>
  </si>
  <si>
    <t>Dokumen laporan akhir tahun tersusun tepat waktu dan baik</t>
  </si>
  <si>
    <t>Dokumen laporan bulanan tersusun tepat waktu dan baik</t>
  </si>
  <si>
    <t>12 Dokumen</t>
  </si>
  <si>
    <t>ASN memahami akan tupoksinya</t>
  </si>
  <si>
    <t>Meningkatnya kapasitas aparatur</t>
  </si>
  <si>
    <t>Kenaikan pangkat tenaga fungsional menjadi lancar</t>
  </si>
  <si>
    <t>Akuntabilitas Pengelolaan Keuangan Meningkat</t>
  </si>
  <si>
    <t>Jumlah dokumen LAKIP yang terselesaikan</t>
  </si>
  <si>
    <t>Jumlah dokumen  rencana strategis SKPD dan evaluasi yang terselesaikan</t>
  </si>
  <si>
    <t>Jumlah peserta workshop yang dapat menyelesaikan renstra UPT</t>
  </si>
  <si>
    <t>- Jumlah dokumen renja, RKA, DPA, Renja perubahan, RKAP, DPPA yang terselesaikan</t>
  </si>
  <si>
    <t>- Jumlah Operator SIPKD sekolah yang mendapatkan honor</t>
  </si>
  <si>
    <t>- Jumlah peserta Bimbingan teknis perencanaan, Penganggaran dan penatausahaan keuangan SKPD dan UPT yang dapat mengoperasikan aplikasi SIPKD</t>
  </si>
  <si>
    <t>Jumlah dokumen hasil pelaksanaan forum SKPD yang terkompilasi</t>
  </si>
  <si>
    <t>1 dokumen</t>
  </si>
  <si>
    <t>1 Dokumen</t>
  </si>
  <si>
    <t>102 KPA</t>
  </si>
  <si>
    <t>6 dokumen</t>
  </si>
  <si>
    <t>112 orang</t>
  </si>
  <si>
    <t>Dokumen LAKIP tersusun tepat waktu dan benar</t>
  </si>
  <si>
    <t>Renstra tersusun tepat waktu, benar dan baik</t>
  </si>
  <si>
    <t>Dokumen renja, RKA, DPA, Renja perubahan, RKAP, DPPA tersusun tepat waktu , benar dan baik</t>
  </si>
  <si>
    <t>Persentase usulan yang terealisasi</t>
  </si>
  <si>
    <t>Tersesuainya Rencana dan pelaksanaan</t>
  </si>
  <si>
    <t>Administrasi kantor lancar</t>
  </si>
  <si>
    <t>Jumlah dokumen pengendalian SKPD yang terselesaikan</t>
  </si>
  <si>
    <t>Jumlah sekolah dilakukan pemberian pedoman, bimbingan, supervisi, konsultasi pendidikan dan pelatihan</t>
  </si>
  <si>
    <t>Frekuensi rapat koordinasi yang dilakukan</t>
  </si>
  <si>
    <t>6 kali</t>
  </si>
  <si>
    <t>- Jumlah Tim Managemen BOS Kabupaten untuk SD &amp; Tenaga Harian Lepas (THL) pendataan BOS SD/MI</t>
  </si>
  <si>
    <t>10 orang &amp; 1 orang</t>
  </si>
  <si>
    <t>Jumlah Tim Managemen BOS Kabupaten untuk SMP serta jumlah Tenaga Harian Lepas (THL) pendataan BOS SMP/MTs</t>
  </si>
  <si>
    <t>10 orang dan 1 orang</t>
  </si>
  <si>
    <t>Jumlah peserta yang dinyatakan lulus dalam workshop dan pendampingan aset</t>
  </si>
  <si>
    <t>Frekuensi pembinaan</t>
  </si>
  <si>
    <t>4 kali</t>
  </si>
  <si>
    <t>8.</t>
  </si>
  <si>
    <t>9.</t>
  </si>
  <si>
    <t>Jumlah dokumen Rencana Tindak Pengendalian (RTP) yang terselesaikan</t>
  </si>
  <si>
    <t>Persentase dokumen pengendalian SKPD yang terselesaikan</t>
  </si>
  <si>
    <t>Optimalnya pelaksanaan anggaran pendapatan dan belanja sekolah (APBS) dana Bos Pusat dan Bosda</t>
  </si>
  <si>
    <t>Optimlanya pelaksanaan program dan kegiatan</t>
  </si>
  <si>
    <t>Tercapainya pelaksanaan pengawasan, pertimbangan, arahan, dukungan peningkatan mutu pendidikan</t>
  </si>
  <si>
    <t>SPIP terimplementasi dengan baik</t>
  </si>
  <si>
    <t xml:space="preserve"> Tenaga Harian Lepas (THL) pendataan Data Pokok Pendidikan</t>
  </si>
  <si>
    <t>1 orang</t>
  </si>
  <si>
    <t>- Jumlah website semua satuan pendidikan yang terpublic</t>
  </si>
  <si>
    <t>300 sekolah</t>
  </si>
  <si>
    <t>- Jumlah pengembang Sistem Informasi Managemen Pendidikan</t>
  </si>
  <si>
    <t>60 OM</t>
  </si>
  <si>
    <t>- Jumlah peserta Pelatihan IT yang dinyatakan lulus</t>
  </si>
  <si>
    <t>1950 Orang</t>
  </si>
  <si>
    <t>Dokumen data pendidikan</t>
  </si>
  <si>
    <t xml:space="preserve">Dokumen profil pendidikan kabupaten Gunungkidul </t>
  </si>
  <si>
    <t>3 jenis dokumen</t>
  </si>
  <si>
    <t>Jumlah tenaga harian lepas (THL) bidang perencanaan dalam rangka melaksanakan kegiatan penerapan sistem dan informasi manajemen pendidikan</t>
  </si>
  <si>
    <t>1 orang x 25 hari x 10 bulan x Rp. 35.000</t>
  </si>
  <si>
    <t>- Dokumen profril SKPD tersusun dengan baik</t>
  </si>
  <si>
    <t>- publikasi dan informasi data satuan pendidikan berjalan dengan baik</t>
  </si>
  <si>
    <t>- Tersedianya tempat belajar dan bahan pembelajaran bagi guru &amp; siswa</t>
  </si>
  <si>
    <t>Meningkatnya pengetahuan tentang IT</t>
  </si>
  <si>
    <t>Memudahkan melihat gambaran pendidikan kab. Gunungkidul</t>
  </si>
  <si>
    <t>profil pendidikan</t>
  </si>
  <si>
    <t>Tersedianya data dan sistem informasi perangkat daerah</t>
  </si>
  <si>
    <t>Meningkatnya kepuasan masyarakat terhadap penyelenggaraan pelayanan SKPD</t>
  </si>
  <si>
    <t>Nilai IKM PD</t>
  </si>
  <si>
    <t>Jumlah dokumen Pengukuran IKM yang terselesaikan</t>
  </si>
  <si>
    <t>Jumlah dokumen standar pelayanan publik yang terselesaiakan</t>
  </si>
  <si>
    <t>35 dokumen</t>
  </si>
  <si>
    <t>Dokumen pengukuran IKM  tersusun dengan baik dan tepat waktu</t>
  </si>
  <si>
    <t>Dokumen standar pelayanan publik tersusun dengan baik dan tepat waktu</t>
  </si>
  <si>
    <t>Terukurnya indek kepuasan masyarakat</t>
  </si>
  <si>
    <t>2 dokumen &amp; 1 orang</t>
  </si>
  <si>
    <t>SPM 100% dan SNP 10%</t>
  </si>
  <si>
    <t>Terukurnya SPM dan SNP</t>
  </si>
  <si>
    <t xml:space="preserve"> Persentase peringkat akreditasi lembaga PAUD meningkat</t>
  </si>
  <si>
    <t>- Jumlah gedung PAUD Terpadu Percontohan di Kecamatan</t>
  </si>
  <si>
    <t>1 PAUD Terpadu = Paud Percontohan Kec. Tepus, TK Negeri Patuk</t>
  </si>
  <si>
    <t>Jumlah dan jenis sarana air bersih yang terpelihara dengan baik</t>
  </si>
  <si>
    <t>2 buah</t>
  </si>
  <si>
    <t>Tersedianya gedung PAUD di setiap Kec.</t>
  </si>
  <si>
    <t>sarana air bersih mencukupi untuk kelangsungan KBM</t>
  </si>
  <si>
    <t>2 TK Pembina Kecamatan</t>
  </si>
  <si>
    <t>Pendidikan TK semakin merata di setiap kecamatan</t>
  </si>
  <si>
    <t>Kualitas pendidikan meningkat</t>
  </si>
  <si>
    <t>Jumlah dan jenis sarana dan prasarana bermain TK Pembina Kecamatan yang dibangun</t>
  </si>
  <si>
    <t>mebelair, alat peraga, perlengkapan KBM, sanitasi 12 TK Pembina TK Pembina Kec. Tepus, TK Pembina Kec. Purwosari, TK Pembina Kec. Patuk, TK Pembina Kec. Panggang, TK Pembina Kec. Gedangsari, TK Pembina Kec. Tanjungsari, TK Pembina Paliyan, TK Pembina Girisubo, TK Pembina Nglipar, TK pembina Saptosari, TK pembina Rongkop, TK pembina Semin</t>
  </si>
  <si>
    <t>Jumlah dan jenis bangunan sekolah yang terpelihara kondisi baik</t>
  </si>
  <si>
    <t>Pengecatan 130 m2, pintu &amp; jendela 35 buah, genting 100 buah, lantai 35 m2</t>
  </si>
  <si>
    <t>Jumlah taman TK Pembina Kecamatan yang dibangun</t>
  </si>
  <si>
    <t>12 TK Pembina = TK Pembina Kec. Tepus, TK Pembina Kec. Purwosari, TK Pembina Kec. Patuk, TK Pembina Kec. Panggang, TK Pembina Kec. Gedangsari, TK Pembina Kec. Tanjungsari, TK Pembina Paliyan, TK Pembina Girisubo, TK Pembina Nglipar, TK pembina Saptosari, TK pembina Rongkop, TK pembina Semin</t>
  </si>
  <si>
    <t>Jumlah pembangunan jaringan instalasi listrik sekolah</t>
  </si>
  <si>
    <t>Jumlah sarana air bersih yang terbangun</t>
  </si>
  <si>
    <t>18 buah</t>
  </si>
  <si>
    <t>Jumlah buku dan alat tulis yang tersedia</t>
  </si>
  <si>
    <t>Kertas lipat, kertas warna-warni, plastisin besar, HVS F4, buram, ballpoint, pensil 2B, kertas cocok, crayon, lem kertas</t>
  </si>
  <si>
    <t>Jumlah dan jenis pengadaan alat praktek dan peraga siswa TK</t>
  </si>
  <si>
    <t>18 TK Pembina Kecamatan = Ayunan 54 buah, mangkok putar 36 buah, jala panjatan 18 buah, bola dunia 18 buah, play ground 18 buah, papan titian 54 buah, papan luncur 36 buah, tangga majemuk 18 buah</t>
  </si>
  <si>
    <t>Jumlah dan jenis pengadaan bahan praktek siswa TK</t>
  </si>
  <si>
    <t>18 TK Pembina Kecamatan = Kertas lipat, kertas warna-warni, plastisin besar, HVS F4, buram, ballpoint, pensil 2B, kertas cocok, crayon, lem kertas</t>
  </si>
  <si>
    <t>Jumlah pengadaan mebelair TK</t>
  </si>
  <si>
    <t>Meja 480 buah dan kursi 480 buah</t>
  </si>
  <si>
    <t>Jumlah pengadaan perlengkapan sekolah</t>
  </si>
  <si>
    <t>18 TK Pembina Kecamatan</t>
  </si>
  <si>
    <t>10.</t>
  </si>
  <si>
    <t>11.</t>
  </si>
  <si>
    <t>12.</t>
  </si>
  <si>
    <t>13.</t>
  </si>
  <si>
    <t>Jumlah alat praktik dan peraga siswa yang terpelihara dengan baik</t>
  </si>
  <si>
    <t>Tersedianya sarana dan prasarana bermain di semua TK Pembina Kec.</t>
  </si>
  <si>
    <t>Bangunan sekolah tetap aman dan nyaman untuk KBM</t>
  </si>
  <si>
    <t>Tersedianya taman di semua TK Pembina Kec.</t>
  </si>
  <si>
    <t>Jaringan listrik tercukupi untuk penunjang KBM</t>
  </si>
  <si>
    <t>Air bersih tercukupi untuk penunjang KBM</t>
  </si>
  <si>
    <t>Terlaksananya KBM sesuai rencana</t>
  </si>
  <si>
    <t>Kegiatan belajar mengajar berjalan baik</t>
  </si>
  <si>
    <t>Terpenuhinya kebutuhan mebelair TK</t>
  </si>
  <si>
    <t>Terpenuhinya kebutuhan perlengkapan TK</t>
  </si>
  <si>
    <t>6 TK Pembina Kecamatan</t>
  </si>
  <si>
    <t>Alat peraga dan praktik dpt digunakan dengan baik</t>
  </si>
  <si>
    <t>Jumlah peserta pelatihan kompetensi tingkat dasar yang dinyatakan lulus 70 orang</t>
  </si>
  <si>
    <t>600 pendidik ( diantaranya dari Desa Girisekar, Desa Girikarto, Desa Girimulyo, Desa Giriharjo, Desa Giriwungu dan Desa Girisuko, Desa Giricahyo purwosari)</t>
  </si>
  <si>
    <t>Jumlah peserta pelatihan tingkat lanjutan yang dinyatakan lulus 280 orang</t>
  </si>
  <si>
    <t>Jumlah peserta diklat kurikulum PAUD yang dinyatakan lulus 150 orang</t>
  </si>
  <si>
    <t>Jumlah peserta diklat akreditasi PAUD yang dinyatakan lulus 100 orang</t>
  </si>
  <si>
    <t>Jumlah guru dan tenaga kependidikan yang dinyatakan lulus dalam diklat Pengembangan Keprofesian Berkelanjutan yang terdiri dari : Diklat Pengembangan Diri, Diklat Karya Ilmiah dan Diklat Karya Inovatif</t>
  </si>
  <si>
    <t>Semua guru yang nilai kinerjanya dibawah standar</t>
  </si>
  <si>
    <t>Peningkatan pemahaman masyarakat tentang PAUD 11.200 orang</t>
  </si>
  <si>
    <t>11.704 orang dan 3 juara</t>
  </si>
  <si>
    <t>Jumlah peserta workshop yang lulus tentang pengelola PAUD 150 orang</t>
  </si>
  <si>
    <t>Jumlah peserta workshop yang lulus dalam pengelolaan PAUD unggulan 60 orang/ 60 lembaga</t>
  </si>
  <si>
    <t>Jumlah peserta workshop yang lulus sebagai pendidik PAUD sesuai tematik 150 orang</t>
  </si>
  <si>
    <t>Jumlah peserta workshop yang lulus sebagai bunda PAUD 144 orang</t>
  </si>
  <si>
    <t>Jumlah juara gugus PAUD 3 juara</t>
  </si>
  <si>
    <t>- Jumlah lembaga PAUD dan Jumlah peserta rakor pengelola dan mitra PAUD serta Jumlah pembinaan gugus paud</t>
  </si>
  <si>
    <t>- Jumlah peserta diklat parenting</t>
  </si>
  <si>
    <t>- Jumlah pendidik PAUD yang diberi stimulan (656 orang x 12 bulan)</t>
  </si>
  <si>
    <t>656 orang x 12 bulan</t>
  </si>
  <si>
    <t>- Jumlah peserta workshop kualitas pengelolaan lembaga PAUD Percontohan yang dinyatakan lulus</t>
  </si>
  <si>
    <t>20 orang</t>
  </si>
  <si>
    <t>23760 siswa</t>
  </si>
  <si>
    <t>Data profil PAUD yang terupdate</t>
  </si>
  <si>
    <t>Jumlah dokumen pengembangan kurikulum, bahan ajar dan model pembelajaran pendidikan anak usia dini yang terselesaikan</t>
  </si>
  <si>
    <t>Jumlah kebijakan strategis terkait pendidikan anak usia dini yang terselesaikan</t>
  </si>
  <si>
    <t>Jumlah Evaluasi Hasil Belajar yang dilaksanakan</t>
  </si>
  <si>
    <t>1 Kali</t>
  </si>
  <si>
    <t>14.</t>
  </si>
  <si>
    <t>15.</t>
  </si>
  <si>
    <t>16.</t>
  </si>
  <si>
    <t>17.</t>
  </si>
  <si>
    <t>18.</t>
  </si>
  <si>
    <t>19.</t>
  </si>
  <si>
    <t>20.</t>
  </si>
  <si>
    <t>Bertambahnya pengetahuan bagi 600 pendidik</t>
  </si>
  <si>
    <t>Kompetensi guru dan tenaga kependidikan terjaga dan terus meningkat</t>
  </si>
  <si>
    <t>Meningkatnya kualitas pelayanan lembaga PAUD</t>
  </si>
  <si>
    <t>1 Paket</t>
  </si>
  <si>
    <t>Meningkatnya kualitas mutu pendidikan PAUDNI di 18 kecamatan</t>
  </si>
  <si>
    <t>Bertambahnya pengetahuan parenting bagi masyarakat</t>
  </si>
  <si>
    <t>Pelaksanaan KBM pendidikan PAUD Non formal berjalan lancar</t>
  </si>
  <si>
    <t>Meningkatnya tumbuh kembang anak sesuai dengan tahapan usianya</t>
  </si>
  <si>
    <t>Meningkatnya capaian SPM PAUD menuju Standar Nasional PAUD</t>
  </si>
  <si>
    <t>Tersajinya data mengenai PAUD yang kompatibel</t>
  </si>
  <si>
    <t>Meningkatnya kualitas mutu pendidikan anak usia dini</t>
  </si>
  <si>
    <t>Pelaksanaan Evaluasi Hasil Belajar Berjalan lancar</t>
  </si>
  <si>
    <t>Persentase SD yang memenuhi Standar Nasional SD</t>
  </si>
  <si>
    <t>SD Pangkah Karangmojo, SD Ngawen III Ngawen, SD Panjatan, SD Baran, SD Beji, SD Semoyo, SD Ngoro-oro</t>
  </si>
  <si>
    <t>SD Sawah III Panggang, SD Surubendo Ponjong, SD Rejosari II Semin</t>
  </si>
  <si>
    <t>SD Banyusoco I, Paliyan, SD Jetis Saptosari, SD banombo Rongkop, SD Rongkop Girisubo, SD Tileng I Girisubo, SD Karangrejek II Wonosari, SD Duwet Wonosari, SD Widoro Tepus, SD Muhammadiyah Kuwon Ponjong, SD Klampok Purwosari, SD Pengkok, SD Panjatan, SD Semoyo, SD Sokasari, SD Sendangsari, SD Ngoro-oro, SD Klepu, SD Patuk</t>
  </si>
  <si>
    <t>jumlah rehabilitasi Akses anak berkebutuhan khusus</t>
  </si>
  <si>
    <t>18 sekolah</t>
  </si>
  <si>
    <t>Jumlah Taman, Lapangan Upacara dan fasilitas parkir yang telah selesai dibangun</t>
  </si>
  <si>
    <t>15 sekolah SD</t>
  </si>
  <si>
    <t>Jumlah pembangunan sarana air bersih dan sanitasy</t>
  </si>
  <si>
    <t>5 PAH</t>
  </si>
  <si>
    <t>Jumlah pengadaan pakaian seragam petugas upacara</t>
  </si>
  <si>
    <t>12 paket</t>
  </si>
  <si>
    <t>LCD proyektor 470 unit, Seragam drumband 50 stel, torso 814 buah, kerangka manusia 407 buah, ring basket 127 set, bola kaki 127 buah, net volly 127 buah, siklus terjadinya hujan (elektrik) 127 buah, peredaran darah (elektrik) 127 buah, pengukur tinggi badan 127 buah, pengukur berat badan 127 buah, cermin cekung 127 buah, cembung 127 buah, kompas 127 buah, magnet batang 127 buah, SD Grogol IV Karangmojo, SD Ponjong III Ponjong, SD Tancep I Ngawen, SD Bendungan III Karangmojo, SD Banjarharjo Tanjungsari, SD Karangtengah II Purwosari, SD Songbanyu I Girisubo, Sd Jepitu I Girisubo, SD Semin IV Semin, SD Ngawen II NGawen, SD Katongan III Nglipar, SD Buyutan Gedangsari, SD Bunder II Patuk, SD Banaran I Playen, SD Legundi I Panggang, SD Semanu IV Semanu</t>
  </si>
  <si>
    <t>Jumlah Pengadaan gamelan sekolah Dasar</t>
  </si>
  <si>
    <t>16 pangkon (SD Nglegi, SD Nglanggeran, SD Baran Patuk)</t>
  </si>
  <si>
    <t>Jumlah pengadaan alat bagi anak berkebutuhan Khusus (ABK) dari dana DAU</t>
  </si>
  <si>
    <t>150 Orang</t>
  </si>
  <si>
    <t>Jumlah pengadaan mebelair Ruang kelas dan ruang guru SD</t>
  </si>
  <si>
    <t>SD 22 PAKET ( SD Waduk, SD Sendangsari Patuk)</t>
  </si>
  <si>
    <t>13 sekolah</t>
  </si>
  <si>
    <t>TersedianyaWC, pagar dan talud sekolah</t>
  </si>
  <si>
    <t>Terpenuhinya Standar Pelayanan Minimal jenjang SD untuk ruang guru</t>
  </si>
  <si>
    <t>Terpenuhinya Standar Pelayanan Minimal jenjang SD untuk ruang perpustakaan</t>
  </si>
  <si>
    <t>Terpenuhinya ruang kelas yang representatif</t>
  </si>
  <si>
    <t>Mutu layanan pendidikan anak berkebutuhan khusus meningkat</t>
  </si>
  <si>
    <t>Taman, lapangan Upcara dan fasilitas parkir terpenuhi sesuai Standar nasional Pendidikan</t>
  </si>
  <si>
    <t>Terpenuhinya air bersih untuk menunjang KBM</t>
  </si>
  <si>
    <t>Proses upacara berjalan lancar sesuai rencana</t>
  </si>
  <si>
    <t>Alat praktik dan peraga siswa terpenuhi</t>
  </si>
  <si>
    <t>Terpenuhinya alat praktik &amp; peraga seni budaya</t>
  </si>
  <si>
    <t>Terpenuhinya alat praktik &amp; peraga siswa (ABK)</t>
  </si>
  <si>
    <t xml:space="preserve">Terpenuhinya perlengkapan sekolah untuk KBM </t>
  </si>
  <si>
    <t>Jumlah bangunan sekolah yang terpelihara dengan baik</t>
  </si>
  <si>
    <t>pengecatan 560 m2, genting 1005 lembar, pintu dan jendela 245 buah, lantai 478 m2</t>
  </si>
  <si>
    <t>Jumlah ruang kelas yang terpelihara</t>
  </si>
  <si>
    <t>pengecatan 5500 m2, genting 2368 lembar, pintu dan jendela 457 buah, lantai 1864 m2</t>
  </si>
  <si>
    <t>Jumlah lapangan olahraga yang terpelihara dengan baik</t>
  </si>
  <si>
    <t>Pengerasan landasan 144 m2</t>
  </si>
  <si>
    <t>Jumlah pemeliharaan rutin/berkala taman, lapangan upacara dan fasilitas parkir</t>
  </si>
  <si>
    <t>1512 m2</t>
  </si>
  <si>
    <t>Jumlah dan jenis penggadaan obat obatan UKS di sekolah</t>
  </si>
  <si>
    <t>Paracetamol 59 dus, minyak kayu putih 190 botol, betadin besar 59 buah, handsaplas 3422 lembar, kasa 59 rol, kapas 295 bungkus, revanol 59 botol</t>
  </si>
  <si>
    <t>Jumlah dan jenis pemeliharaan ruang ibadah sekolah</t>
  </si>
  <si>
    <t>Pengecatan 225 m2, pintu dan jendela 30 buah</t>
  </si>
  <si>
    <t>Jumlah dan jenis pemeliharaan perpustakaan sekolah</t>
  </si>
  <si>
    <t>Sampul buku koleksi perpustakaan 1596 buku</t>
  </si>
  <si>
    <t>Jumlah dan jenis pemeliharaan jaringan listrik sekolah</t>
  </si>
  <si>
    <t>Lampu philips 20 buah, lampu xl 35 buah, lampu led 70 buah, lampu tl 15 buah, kabel/rol/saklar 25 buah, peteng 127 buah, tdos 127 buah, indos 127 buah</t>
  </si>
  <si>
    <t>Jumlah pemeliharaan sanitasy air bersih</t>
  </si>
  <si>
    <t>12 PAH</t>
  </si>
  <si>
    <t>Jumlah pemeliharaan alat praktik dan peraga siswa</t>
  </si>
  <si>
    <t>komputer 24 unit, LCD proyektor 43 buah</t>
  </si>
  <si>
    <t>Jumlah pemeliharaan pemeliharaan meja kursi siswa</t>
  </si>
  <si>
    <t>Meja 930 buah, kursi 1860 buah, almari 155 buah</t>
  </si>
  <si>
    <t>Jumlah pemeliharaan peralatan networking dll</t>
  </si>
  <si>
    <t>Jaringan internet 124 buah</t>
  </si>
  <si>
    <t>Terciptanya suasana belajar yang kondusif</t>
  </si>
  <si>
    <t>KBM khususnya mapel penjasorkes berjalan lancar</t>
  </si>
  <si>
    <t>Terciptanya lingkungan sekolah nyaman dan asri</t>
  </si>
  <si>
    <t>Kesehatan siswa terjaga</t>
  </si>
  <si>
    <t>Ketaqwaan terhadap Tuhan Yang Maha Esa meningkat</t>
  </si>
  <si>
    <t>Terpenuhinya bahan dan alat penunjang pendidikan yang berkualitas dan cukup</t>
  </si>
  <si>
    <t>Jaringan listrik berfungsi dengan aman</t>
  </si>
  <si>
    <t>Kamar mandi siswa dapat digunakan dengan baik</t>
  </si>
  <si>
    <t>Kekurangan alat praktik dan peraga siswa tercukupi</t>
  </si>
  <si>
    <t>Meja kursi siswa siap pakai</t>
  </si>
  <si>
    <t>perlengkapan sekolah siap pakai</t>
  </si>
  <si>
    <t>Kegiatan belajar mengajar dan praktikum siswa berjalan lancar</t>
  </si>
  <si>
    <t>Kegiatan belajar mengajar berjalan lancar</t>
  </si>
  <si>
    <t>Jumlah siswa yang lolos mengikuti olimpiade MIPA</t>
  </si>
  <si>
    <t>60 Siswa SD</t>
  </si>
  <si>
    <t>Jumlah peserta lomba kreatifitas siswa</t>
  </si>
  <si>
    <t>10 guru, 10 anak</t>
  </si>
  <si>
    <t>Jumlah sekolah yang menerapkan kesetaraan gender</t>
  </si>
  <si>
    <t>SD = 36 sekolah</t>
  </si>
  <si>
    <t>Jumlah siswa penerima Bantuan beasiswa bakat dan prestasi SD</t>
  </si>
  <si>
    <t>50 siswa</t>
  </si>
  <si>
    <t>Jumlah peserta yang dinyatakan lulus asesmen siswa baru SD</t>
  </si>
  <si>
    <t>8.115 siswa SD</t>
  </si>
  <si>
    <t>Jumlah pemberian makanan tambahan bagi anak sekolah</t>
  </si>
  <si>
    <t>SD 46,332 Siswa @ 3.000 x 12 bulan</t>
  </si>
  <si>
    <t>Jumlah peserta yang dinyatakan lulus dalam kegiatan pelatihan kompetensi tenaga pendidik dan workshop MGMP 12 Mapel</t>
  </si>
  <si>
    <t>Guru TK, SD</t>
  </si>
  <si>
    <t>Jumlah peserta yang dinyatakan lulus dalam kegiatan Pelatihan guru pengembang matematika</t>
  </si>
  <si>
    <t xml:space="preserve"> 60 guru  matematika</t>
  </si>
  <si>
    <t>Jumlah peserta yang dinyatakan lulus dalam kegiatan Pelatihan Peningkatan kapasitas guru konsultatif inklusi tk kec.</t>
  </si>
  <si>
    <t>40 Guru</t>
  </si>
  <si>
    <t>Jumlah guru yang dinyatakan lulus dalam kegiatan pelatihan PK/PLK penyelenggara inklusif</t>
  </si>
  <si>
    <t>60 Guru</t>
  </si>
  <si>
    <t>Jumlah Peserta KKG dan lomba Gugus</t>
  </si>
  <si>
    <t>Jumlah guru , kepala sekolah dan pengawas yang diseleksi dan dinilai dan dinyatakan lulus</t>
  </si>
  <si>
    <t>3400 orang</t>
  </si>
  <si>
    <t>Jumlah guru dan kepala sekolah yang terseleksi menjadi guru dan kepala sekolah teladan</t>
  </si>
  <si>
    <t>170 orang</t>
  </si>
  <si>
    <t>Terpilihnya pesrta olimpiade MIPA mewakili Kabupaten Gunungkidul</t>
  </si>
  <si>
    <t>Terpilihnya peserta lomba kreativitas guru dan anak TK Tingkat Gunungkidul dalam 10 cabang lomba</t>
  </si>
  <si>
    <t>Peranan atau tanggungjawab laki-laki dan perempuan akan seimbang</t>
  </si>
  <si>
    <t>36 Sekolah</t>
  </si>
  <si>
    <t>meningkatkan mutu pendidikan</t>
  </si>
  <si>
    <t>Layanan anak berkebutuhan khusus berjalan optimal</t>
  </si>
  <si>
    <t>Gizi peserta didik seimbang</t>
  </si>
  <si>
    <t>Meningkatnya mutu pendidikan</t>
  </si>
  <si>
    <t>Meningkatnya mutu pendidikan khususnya mapel matematika</t>
  </si>
  <si>
    <t xml:space="preserve">Meningkatnya mutu pendidikan khususnya Anak berkebutuhan khusus  </t>
  </si>
  <si>
    <t>Guru TK dan SD dapat terpacu untuk berkmpetensi</t>
  </si>
  <si>
    <t>Data Pendidik dan tenaga kependidikan tersaji secara akurat</t>
  </si>
  <si>
    <t>Meningkatnya mutu pendidik</t>
  </si>
  <si>
    <t>Kegiatan KBM siswa berjalan lancar</t>
  </si>
  <si>
    <t>Jumlah peserta penyempurnaan kurikulum SD dan pelatihan implementasi kurikulum SD yang dinyatakan lulus</t>
  </si>
  <si>
    <t>500 orang</t>
  </si>
  <si>
    <t>Jumlah kepala sekolah yang telah menerapkan MBS</t>
  </si>
  <si>
    <t>50 kepala sekolah</t>
  </si>
  <si>
    <t>- Jumlah tim managemen bos kecamatan (UPT TK&amp;SD Kecamatan)</t>
  </si>
  <si>
    <t>90 Orang</t>
  </si>
  <si>
    <t>- Jumlah penerimaan peserta didik baru MOS dan jumlah peserta sosialisasi GNPPWB dikdas 9 tahun yang dinyatakan diterima</t>
  </si>
  <si>
    <t>PPDB 9000 siswa</t>
  </si>
  <si>
    <t>- Jumlah kaldik, pedoman teknis porseni SD, pedoman PPDB</t>
  </si>
  <si>
    <t>Kaldik 1450</t>
  </si>
  <si>
    <t>Jumlah raport dan buku induk TK dan SD</t>
  </si>
  <si>
    <t>Raport SD 10.000 exs, TK 1.500 eks, Buku induk SD 500 buku, TK 36 Buku</t>
  </si>
  <si>
    <t>Jumlah sekolah yang dikembangkan menjadi sekolah berkeunggulan lokal</t>
  </si>
  <si>
    <t>18 SD</t>
  </si>
  <si>
    <t>Jumlah peserta pelatihan pembelajaran berbasis IT yang dapat menyelesaikan penyusunan materi pembelajaran</t>
  </si>
  <si>
    <t>39 orang penyusun</t>
  </si>
  <si>
    <t>Jumlah peserta pelatihan pembelajaran berbasis  IT yang dinyatakan lulus</t>
  </si>
  <si>
    <t>225 orang peserta</t>
  </si>
  <si>
    <t>Jumlah SD yang diakreditasi dan mendapatkan nilai baik</t>
  </si>
  <si>
    <t>SD 75 Sekolah</t>
  </si>
  <si>
    <t>Jumlah Tes Pengendali mutu, Try Out Ujian, Ujian Praktek, Ujian Daerah yang dilaksanakan</t>
  </si>
  <si>
    <t>Semua Sekolah Dasar</t>
  </si>
  <si>
    <t>Jumlah kisi-kisi dan soal evaluasi belajar yang disusun serta sekolah SD yg dilakukan regrouping</t>
  </si>
  <si>
    <t>1 Paket dan 4 SD</t>
  </si>
  <si>
    <t>Jumlah Sumber Daya Manusia yang menguasai ilmu manajemen baik untuk mengurus pendidikan ataupun kurikulumnya</t>
  </si>
  <si>
    <t>Implementasi kurikulum SD sesuai standar serta Dokumen kurikulum sesuai BSNP</t>
  </si>
  <si>
    <t>Meningkatnya kompetensi/kinerja kepala sekolah</t>
  </si>
  <si>
    <t>Penyaluran dana BOSDA Kab untuk jenjang SD berjalan lancar</t>
  </si>
  <si>
    <t>Meningkatkan mutu layanan pendidikan sekolah dasar</t>
  </si>
  <si>
    <t>Sekolah yang terstandar, sebagai patok duga (benchmark) bagi sekolah lain</t>
  </si>
  <si>
    <t>Meningkatnya pengetahuan guru dlm mengembangkan pembelajaran berbasis TI</t>
  </si>
  <si>
    <t>39 orang</t>
  </si>
  <si>
    <t>Bertambahnya jumlah guru yg mampu mengajar dgn menerapkan media pembelajaran berbasis TIK</t>
  </si>
  <si>
    <t>Menentukan peringkat sekolah dari manajemen pengelolaan sekolah secara transparan dan akuntabel</t>
  </si>
  <si>
    <t>Pelaksanaan tes pengendali mutu, Try out Ujian dan Ujian Daerah Berjalan lancar</t>
  </si>
  <si>
    <t>Guru dapat menyusun kisi-kisi dan soal evaluasi belajar dengan benar</t>
  </si>
  <si>
    <t>Tercapainya tujuan kurikulum yang sudah dirumuskan</t>
  </si>
  <si>
    <t>Jumlah Tes Pengendali mutu, Try Out Ujian, Ujian Praktek, Ujian Daerah yang selesai dilaksanakan</t>
  </si>
  <si>
    <t>Guru SD</t>
  </si>
  <si>
    <t>Seluruh sekolah</t>
  </si>
  <si>
    <t>Terpilihnya pesrta olimpiade MIPA mewakili UPT TK &amp; SD</t>
  </si>
  <si>
    <t>Terpilihnya peserta lomba kreativitas guru dan anak TK Tingkat UPT TK &amp; SD dalam 10 cabang lomba</t>
  </si>
  <si>
    <t>Persentase SMP  yang memenuhi Standar Nasional Pendidikan (SNP)</t>
  </si>
  <si>
    <t>Jumlah pembangunan ruang guru/PTK, ruang kepala sekolah SMP</t>
  </si>
  <si>
    <t>12 sekolah, 14 sekolah</t>
  </si>
  <si>
    <t>Jumlah pengerasan lapangan upacara SMP</t>
  </si>
  <si>
    <t>2 Sekolah</t>
  </si>
  <si>
    <t>Jumlah pembangunan Sarana dan Prasarana kelas olahraga</t>
  </si>
  <si>
    <t>10 sekolah</t>
  </si>
  <si>
    <t>Jumlah pembangunan Taman, Lapangan Upacara dan fasilitas parkir</t>
  </si>
  <si>
    <t>15 sekolah SMP</t>
  </si>
  <si>
    <t>5 Sekolah (SMP 1 Panggang, SMP 5 Panggang)</t>
  </si>
  <si>
    <t>Jumlah rehabilitasi ruang kantor SMP</t>
  </si>
  <si>
    <t>1 sekolah (SMP 3 Panggang)</t>
  </si>
  <si>
    <t>12 sekolah</t>
  </si>
  <si>
    <t>Jumlah pengadaan pakaian olahraga untuk kelas olahraga</t>
  </si>
  <si>
    <t>Jumlah Pengadaan komputer sekolah SMP</t>
  </si>
  <si>
    <t>9 Sekolah</t>
  </si>
  <si>
    <t>Jumlah Pengadaan gamelan sekolah SMP</t>
  </si>
  <si>
    <t>3 Sekolah</t>
  </si>
  <si>
    <t>Jumlah pengadaan alat praktik dan peraga kelas olahraga</t>
  </si>
  <si>
    <t>5 Sekolah</t>
  </si>
  <si>
    <t xml:space="preserve">Jumlah pengadaan alat praktik &amp; peraga siswa sekolah keuanggulan lokal </t>
  </si>
  <si>
    <t>9 Sekolah dan SMP 5 Panggang</t>
  </si>
  <si>
    <t>Jumlah pengadaan Mebelair ruang kelas, laboratorium, ruang PTK/guru, ruang kepsek, ruang tamu SMP</t>
  </si>
  <si>
    <t>422 ruang, 30 ruang, 10 ruang, 10 ruang</t>
  </si>
  <si>
    <t>Terciptanya lingkungan sekolah yang nyaman dan aman</t>
  </si>
  <si>
    <t>kegiatan praktikum siswa kelas olahraga berjalan lancar</t>
  </si>
  <si>
    <t>Terpenuhinya ruang kantor yang representatif</t>
  </si>
  <si>
    <t>Proses KBM khususnya mapel penjasorkes berjalan lancar</t>
  </si>
  <si>
    <t>Terpenuhinya alat praktik &amp; peraga TIK</t>
  </si>
  <si>
    <t>Terpenuhinya alat praktik &amp; peraga kelas olahraga</t>
  </si>
  <si>
    <t>Terpenuhinya alat praktik &amp; peraga siswa sekolah unggulan lokal sehingga KBM berjalan lancar</t>
  </si>
  <si>
    <t>Jumlah dan jenis pemeliharaan bangunan sekolah</t>
  </si>
  <si>
    <t>Jumlah pemeliharaan rutin berkala ruang kelas sekolah</t>
  </si>
  <si>
    <t>Jumlah pemeliharaan rutin berkala lapangan olahraga</t>
  </si>
  <si>
    <t>Jumlah pemeliharaan rutin/berkala taman, lapangan upacar dan fasilitas parkir</t>
  </si>
  <si>
    <t>Jumlah pemeliharaan ruang ibadah sekolah</t>
  </si>
  <si>
    <t>Jumlah pemeliharaan perpustakaan sekolah</t>
  </si>
  <si>
    <t>Jumlah alat praktik dan peraga siswa yang dipelihara</t>
  </si>
  <si>
    <t>Jumlah pemeliharaan meja kursi siswa</t>
  </si>
  <si>
    <t>Jaringan internet 54 buah</t>
  </si>
  <si>
    <t>Jumlah penggadaan obat obatan UKS di sekolah</t>
  </si>
  <si>
    <t>KBM khususnya mapel penjas</t>
  </si>
  <si>
    <t>Jumlah siswa juara olimpiade MIPA SMP</t>
  </si>
  <si>
    <t>60 Siswa SMP</t>
  </si>
  <si>
    <t>Jumlah pembinaan kelas olahraga jenjang SMP</t>
  </si>
  <si>
    <t>2 sekolah = SMP 1 Ngawen, SMP 1 Playen</t>
  </si>
  <si>
    <t>Jumlah sekolah yang mengimplementasian gender dalam pendidikan</t>
  </si>
  <si>
    <t>SMP = 36 sekolah</t>
  </si>
  <si>
    <t>Jumlah penerima Bantuan beasiswa bakat dan prestasi SMP</t>
  </si>
  <si>
    <t>150 siswa</t>
  </si>
  <si>
    <t>Jumlah peserta pengembangan pembelajaran menggunakan CTL yang dinyatakan lulus</t>
  </si>
  <si>
    <t>CTL 75 guru</t>
  </si>
  <si>
    <t>Jumlah guru dan tenaga kependidikan yang dinyatakan lulus dalam diklat Pengembangan Diri, Diklat Karya Ilmiah dan Diklat Karya Inovatif</t>
  </si>
  <si>
    <t>Guru SMP</t>
  </si>
  <si>
    <t>Jumlah peserta yang dinyatakan lulus dalam kegiatan pelatihan  PK/PLK sekolah penyelenggaran inklusi</t>
  </si>
  <si>
    <t>Jumlah peserta yang dinyatakan lulus dalam kegiatan WOMS</t>
  </si>
  <si>
    <t>Jumlah peserta yang dinyatakan lulus dalam kegiatan Pelatihan Lesson Study</t>
  </si>
  <si>
    <t>Jumlah peserta yang dinyatakan lulus dalam kegiatan Bimtek petugas perpustakaan</t>
  </si>
  <si>
    <t>60 orang</t>
  </si>
  <si>
    <t xml:space="preserve">Jumlah peserta yang dinyatakan lulus dalam kegiatan Pelatihan kinerja guru/Kepala Sekolah </t>
  </si>
  <si>
    <t>70 Orang</t>
  </si>
  <si>
    <t>Jumlah peserta MGMP SMP</t>
  </si>
  <si>
    <t>Jumlah guru  guru dan kepala sekolah yang terseleksi menjadi guru dan kepala sekolah teladan</t>
  </si>
  <si>
    <t>Potensi atlet terbina dengan baik sehingga prestasi olahraga meningkat</t>
  </si>
  <si>
    <t>100 siswa</t>
  </si>
  <si>
    <t>Meningkatnya kualitas dan kuantitas kelulusan SMP</t>
  </si>
  <si>
    <t>Meningkatnya mutu pendidikan khususnya Anak berkebutuhan khusus</t>
  </si>
  <si>
    <t xml:space="preserve">Meningkatnya mutu pendidikan </t>
  </si>
  <si>
    <t>Guru SMP dapat terpacu untuk berkompetensi</t>
  </si>
  <si>
    <t>Jumlah peserta bimtek Penyesuaian kurikulum SMP yang dinyatakan lulus</t>
  </si>
  <si>
    <t>SMP 150 orang</t>
  </si>
  <si>
    <t>Jumlah siswa yang diterima menjadi peserta didik baru MOS dan jumlah peserta sosialisasi GNPPWB dikdas 9 tahun</t>
  </si>
  <si>
    <t>10.300 siswa</t>
  </si>
  <si>
    <t>Jumlah kaldik, pedoman teknis porseni SMP, pedoman, PPDB</t>
  </si>
  <si>
    <t>400 kadik</t>
  </si>
  <si>
    <t>Jumlah raport dan buku induk SMP</t>
  </si>
  <si>
    <t>400 buku induk, raport 10.300 buku</t>
  </si>
  <si>
    <t>Jumlah peserta TOT HIV AIDS  serta seminar pencegahan dan penanganan kenakalan remaja, kekerasan seksual, pernikahan usia anak dan KDRT di Dinas Dikpora Kab. GK</t>
  </si>
  <si>
    <t>Jumlah sekolah yang dikembangkan menjadi sekolah unggulan</t>
  </si>
  <si>
    <t>9 SMP</t>
  </si>
  <si>
    <t>1. Jumlah peserta lulus dalam penyusunan media  pembelajaran berbasis IT</t>
  </si>
  <si>
    <t>2. Jumlah peserta lulus dalam pelatihan pembelajaran berbasis  IT</t>
  </si>
  <si>
    <t>1. Jumlah sekolah yang mendapatkan nilai baik dalam Akreditasi Sekolah jenjang SMP</t>
  </si>
  <si>
    <t>107 Sekolah</t>
  </si>
  <si>
    <t>2. Jumlah pembinaan dan evaluasi program SSN</t>
  </si>
  <si>
    <t>57 sekolah</t>
  </si>
  <si>
    <t>Semua jenjang Sekolah</t>
  </si>
  <si>
    <t>Dokumen kurikulum tersaji sesuai dengan BSNP</t>
  </si>
  <si>
    <t>Terfasilitasinya PPDB</t>
  </si>
  <si>
    <t>Tersedianya kaldik, pedoman teknis porseni, PPDB SMP</t>
  </si>
  <si>
    <t>Tersedianya raport dan buku induk SMP</t>
  </si>
  <si>
    <t>Meningkatnya kesadaran tentang bahaya HIV/AIDS</t>
  </si>
  <si>
    <t>Pembinaan dan evaluasi program SSN berjalan lancar</t>
  </si>
  <si>
    <t>Semua Sekolah Menengah Pertama</t>
  </si>
  <si>
    <t>Jumlah peserta TOT HIV AIDS  serta seminar pencegahan dan penanganan kenakalan remaja, kekerasan seksual, pernikahan usia anak dan KDRT di Sekolah</t>
  </si>
  <si>
    <t>Jumlah sekolah yang dikembangkan menjadi sekolah berunggulan lokal</t>
  </si>
  <si>
    <t>Semua Sekolah</t>
  </si>
  <si>
    <t>Semua guru</t>
  </si>
  <si>
    <t>2. Jumlah evaluasi program SSN</t>
  </si>
  <si>
    <t>evaluasi program SSN berjalan lancar</t>
  </si>
  <si>
    <t>Terpilihnya pesrta olimpiade MIPA dikirim ke Kabupaten Gunungkidul</t>
  </si>
  <si>
    <t>Persentase Warga  buta aksara Yang Terlayanai Dalam Pendidikan Keaksaraan</t>
  </si>
  <si>
    <t>Persentase anak putus sekolah yang terlayani pendidikan kesetaraan</t>
  </si>
  <si>
    <t>2,75%</t>
  </si>
  <si>
    <t>Jumlah peserta pendidikan kesetaraan paket A Setara SD di masyarakat</t>
  </si>
  <si>
    <t>100 Orang</t>
  </si>
  <si>
    <t>Jumlah warga belajar lulus pendidikan kesetaraan paket B setara SMP di masyarakat</t>
  </si>
  <si>
    <t>23 kelompok/ 460 warga belajar</t>
  </si>
  <si>
    <t>Pendidikan kesetaraan paket C di masyarakat</t>
  </si>
  <si>
    <t>37 Kelompok/ 740 warga belajar</t>
  </si>
  <si>
    <t>Frekuensi Workshop pendidikan non formal di masyarakat</t>
  </si>
  <si>
    <t>PKBM 18 Kecamatan (269 Orang)</t>
  </si>
  <si>
    <t>Jumlah peserta keaksaraan Dasar</t>
  </si>
  <si>
    <t xml:space="preserve">5.000 warga belajar </t>
  </si>
  <si>
    <t>Jumlah peserta keaksaraan Mandiri</t>
  </si>
  <si>
    <t xml:space="preserve">2000 warga belajar </t>
  </si>
  <si>
    <t>Jumlah pengadaan sarana dan prasarana pendidikan non formal</t>
  </si>
  <si>
    <t>7 Paket</t>
  </si>
  <si>
    <t>Dokumen data dan informasi pendidikan non formal</t>
  </si>
  <si>
    <t>Frekuensi sosialisasi</t>
  </si>
  <si>
    <t>Dokumen kurikulum dan bahan ajar</t>
  </si>
  <si>
    <t>1 model</t>
  </si>
  <si>
    <t>Meningkatkan pengetahuan ketrampilan dan taraf hidup masyarakat</t>
  </si>
  <si>
    <t>Meningkatkan pengetahuan keterampilan dan taraf hidup masyarakat</t>
  </si>
  <si>
    <t>Meningkatnya prestasi lembaga pendidik, tenaga kependidikan dan warga belajar pendidikan non formal</t>
  </si>
  <si>
    <t>50 % penduduk buta aksara</t>
  </si>
  <si>
    <t>Semakin mudahnya mencari data &amp; informasi PNF</t>
  </si>
  <si>
    <t>Tersusunnya SKK Pendidikan Keaksaraan</t>
  </si>
  <si>
    <t>Tersusunnya dokumen model pembelajarn  PNFI di kabupaten GK</t>
  </si>
  <si>
    <t>Peningkatan kesejahteraan masyarakat</t>
  </si>
  <si>
    <t>Pemberantasaan buta aksara</t>
  </si>
  <si>
    <t>Jumlah peserta yang mengikuti kursus</t>
  </si>
  <si>
    <t>140 Orang</t>
  </si>
  <si>
    <t>Jumlah kurus yang diselenggarakan</t>
  </si>
  <si>
    <t>220 orang (Kec. Ponjong)</t>
  </si>
  <si>
    <t>Meningkatkan pengetahuan, ketrampilan dan taraf hidup masyarakat</t>
  </si>
  <si>
    <t>Meningkatkan pengetahuan ketrampilan masyarakat</t>
  </si>
  <si>
    <t>Pengurangan pengangguran</t>
  </si>
  <si>
    <t>Pendidikan Paket C setara SMA kelas X, XI, XII</t>
  </si>
  <si>
    <t>20 Orang</t>
  </si>
  <si>
    <t>20 warga belajar</t>
  </si>
  <si>
    <t xml:space="preserve">Frekuensi workshop pemberdayaan tenaga pendidikan </t>
  </si>
  <si>
    <t>40 orang</t>
  </si>
  <si>
    <t>Jumlah pengadaan sarana dan prasarana sekolah PAUD</t>
  </si>
  <si>
    <t xml:space="preserve">20 warga belajar </t>
  </si>
  <si>
    <t>Jumlah peserta yang dilatih</t>
  </si>
  <si>
    <t>140 orang dan 1 orang</t>
  </si>
  <si>
    <t>Jumlah Dokumen evaluasi hasil kursus</t>
  </si>
  <si>
    <t>Jumlah tenaga harian lepas (THL) SKB untuk operator komputer, pengadministrasi umu, petugas admin dan pengelola IT SKB, Pengelola IT KB Handayani, Tutor kesetaraan dan tutor kursus</t>
  </si>
  <si>
    <t>1 orang x 25 hari x 10 bulan x Rp. 40.000</t>
  </si>
  <si>
    <t>Terselenggaranya pendidikan kesetaraan paket C kelas X, XI, XII dan persentase capaian nilai ujian sesuai dtandar kelulusan</t>
  </si>
  <si>
    <t>Meningkatnya kompetensi tutor keaksaraan dan kesetaraan</t>
  </si>
  <si>
    <t>Alat praktik dan peraga sekolah PAUD tercukupi</t>
  </si>
  <si>
    <t>Peningkatan pengelolaan pendidikan non formal</t>
  </si>
  <si>
    <t>Jumlah pemuda yang berprestasi non akademis di tingkat provinsi</t>
  </si>
  <si>
    <t>Jumlah organisasi kepemudaan</t>
  </si>
  <si>
    <t>25 OKP / kelompok ( Kec. Patuk 30 orang dan melikan, bohol rongkop)</t>
  </si>
  <si>
    <t>Frekuensi kegiatan dan pertukaran pemuda</t>
  </si>
  <si>
    <t>2 kegiatan 1500 peserta</t>
  </si>
  <si>
    <t>Frekuensi dialog yang dilaksanakan</t>
  </si>
  <si>
    <t>4 kegiatan / 1000 peserta</t>
  </si>
  <si>
    <t>Jumlah peserta lomba kreativitas yang dilaksanakan</t>
  </si>
  <si>
    <t>5 jenis lomba/ 370 peserta</t>
  </si>
  <si>
    <t>Frekuensi sosialisasi kepeloporan pemuda</t>
  </si>
  <si>
    <t>5 Bidang kepeloporan sosialisasi 18 kecamatan</t>
  </si>
  <si>
    <t>Jumlah peserta  lomba  MTQ.</t>
  </si>
  <si>
    <t>13 Cabang lomba/1000 siswa</t>
  </si>
  <si>
    <t>Jumlah Tenaga Harian Lepas (THL) bidang pemuda dan olahraga dalam rangka melaksanakan kegiatan lomba MTQ, kegiatan kepemudaa, pembentukan PASKIBRAKA, pemuda pelopor keamanan lingkungan, fasilitasi pekan temu wicaraorganisasi pemuda, LKKTI</t>
  </si>
  <si>
    <t>1 orang x 25 hari x 12 bulan x Rp. 35.000</t>
  </si>
  <si>
    <t>Jumlah kelompok yang dilatih</t>
  </si>
  <si>
    <t>5 kelompok dan 250 orang (diantaranya Desa Karangmojo, Desa Sodo Paliyan, Desa Girisekar, Girikarto, Girimulyo, Giriharjo, Giriwungu, Girisuko, di Kec. Patuk 20 orang dan di desa sidorejo, desa Karangasemponjong)</t>
  </si>
  <si>
    <t>Meningkatkan profesionalisme organisasi</t>
  </si>
  <si>
    <t>Meningkatnya jiwa kepemimpinan dan pembentukan karakter pemuda yang kuat</t>
  </si>
  <si>
    <t>Meningkatnya pengetahuan dan wawasan kebangsaan serta jiwa patriotisme</t>
  </si>
  <si>
    <t>1000 pemuda dan pelajar</t>
  </si>
  <si>
    <t>Karya Ilmiah remaja, Kreasi seni dan kreatifitas pemuda semakin meningkat</t>
  </si>
  <si>
    <t>Menumbuhkan sikap mandiri dan peduli dg lingkungan</t>
  </si>
  <si>
    <t>maju lomba Nasional</t>
  </si>
  <si>
    <t>Terbentuknya kontingen kabupaten maju ke provinsi</t>
  </si>
  <si>
    <t>13 cabang meraih prestasi juara provinsi</t>
  </si>
  <si>
    <t>Pemuda gunungkidul semakin produktif</t>
  </si>
  <si>
    <t>Seni tradisional tetap lestari sebagai warisan budaya</t>
  </si>
  <si>
    <t>Jumlah anggota PASKIBRAKA dan Tenaga Harian Lepas</t>
  </si>
  <si>
    <t>1 Tim (72 orang) kab, provinsi 8 orang, 1 tk. Nas dan 1 orang THL</t>
  </si>
  <si>
    <t>Meningkatknya mental dan disiplin siswa</t>
  </si>
  <si>
    <t>1 Tim (72 orang) kab, provinsi 8 orang, 1 tk. Nas &amp; 1 orang THL</t>
  </si>
  <si>
    <t>Peningkatan jiwa patriotisme</t>
  </si>
  <si>
    <t>Meningkatannya rasa Cinta tanah air dan bangsa</t>
  </si>
  <si>
    <t xml:space="preserve">    </t>
  </si>
  <si>
    <t>Jumlah Prestasi Olahraga di tingkat Nasional dan Internasional</t>
  </si>
  <si>
    <t>15 Atlet</t>
  </si>
  <si>
    <t>Pembinaan dan pembibitan olahragawan</t>
  </si>
  <si>
    <t>17 cabor, 52 club, 3 PPLP ( Karangwuni, Botodayaan Rongkop)</t>
  </si>
  <si>
    <t>Jumlah Tenaga Harian Lepas (THL) bidang pemuda dan olahraga dalam rangka melaksanakan kegiatan keolahragaan</t>
  </si>
  <si>
    <t>1 orang x 25 hari x 12 bulan x Rp. 40.000</t>
  </si>
  <si>
    <t>Frekuensi tri Lomba juang</t>
  </si>
  <si>
    <t>1 Tim Tri Lomba Juang, 3 keg.</t>
  </si>
  <si>
    <t>Jumlah prestasi cabang olah raga tingkat regional/ nasional/internasional yang diraih Kecamatan</t>
  </si>
  <si>
    <t>Jumlah disabilitas yang mengikuti perlombaan</t>
  </si>
  <si>
    <t>Frekuensi LPI yang diikuti</t>
  </si>
  <si>
    <t>Frekuensi kegiatan peringatan hari PGRI</t>
  </si>
  <si>
    <t>4 kegiatan</t>
  </si>
  <si>
    <t xml:space="preserve">Frekuensi kegiatan olah raga yang diikuti dan jumlah tenaga harian lepas </t>
  </si>
  <si>
    <t>Kontingen :POPDA, O2SN SMA, O2SN SMK, O2SN SMP, O2SN SD dan 1 orang THL</t>
  </si>
  <si>
    <t>Frekuensi kegiatan olah raga rekreasi</t>
  </si>
  <si>
    <t>Setiap hari minggu, 12 bulan</t>
  </si>
  <si>
    <t>a. Gerakan Memasyarakatkan Olahraga dan Frekuensi senam yang dilakukan di wilayah Kecamatan</t>
  </si>
  <si>
    <t>Alun-alun Wns, Ponjong, Karangmojo, Tepus, Nglipar, Playen, Girisubo, Semanu, Semin, Paliyan, Panggang, Patuk &amp; Ngawen</t>
  </si>
  <si>
    <t>b. Peringatan HAORNAS Jumlah kegiatan olah raga dalam peringatan HAORNAS</t>
  </si>
  <si>
    <t>c. Peringatan Hari Jadi Kab. Gunungkidul                            Jumlah peserta perayaan Hari Jadi Gunungkidul</t>
  </si>
  <si>
    <t>Meningkatnya Prestasi olahraga dimasyarakat</t>
  </si>
  <si>
    <t>Meningkatkan Prestasi olahraga daerah</t>
  </si>
  <si>
    <t>30%                                18 Kecamatan</t>
  </si>
  <si>
    <t>Paralympic olahraga penyandang cacat dapat terfasilitasi</t>
  </si>
  <si>
    <t>Liga Pelajar Indonesia berjalan dengan lancar</t>
  </si>
  <si>
    <t>Meningkatkan prestasi olah raga bagi pegawai</t>
  </si>
  <si>
    <t>Meningkatkan prestasi olahraga bagi pelajar di gunungkidul</t>
  </si>
  <si>
    <t>Terwujudnya masyarakat yg sehat jasmani  dan rohani</t>
  </si>
  <si>
    <t>250 orang</t>
  </si>
  <si>
    <t xml:space="preserve">Terciptanya kesehatan warga masyarakat gunungkidul </t>
  </si>
  <si>
    <t>Olahraga rekreasi semakin meningkat di Kabupaten Gunungkidul</t>
  </si>
  <si>
    <t>Kesehatan, kedisiplinan masyarakat gunungkidul semakin meningkat</t>
  </si>
  <si>
    <t>Peningkatan perkembangan minat bakat pemuda</t>
  </si>
  <si>
    <t>Prestasi olahraga pemuda meningkat</t>
  </si>
  <si>
    <t>Jumlah dan jenis Sarana prasarana olahraga yang dipelihara</t>
  </si>
  <si>
    <t xml:space="preserve">4 kegiatan :
-  Stadon Handayani
-sarana olah raga kompleks setda 
- papan panjat tebing
- lapangan voli indoor
-lapangan tenis
</t>
  </si>
  <si>
    <t>Terpenuhinya stadion yang layak pakai dan representatif</t>
  </si>
  <si>
    <t>Terpeliharanya sarana olahraga masyarakat</t>
  </si>
  <si>
    <t>Berbagai cabang olahraga dapat dioptimalkan</t>
  </si>
  <si>
    <t>25 buah</t>
  </si>
  <si>
    <t>Jumlah surat yang dikirim</t>
  </si>
  <si>
    <t>Jumlah sarana jasa telepon, air, listrik, internet</t>
  </si>
  <si>
    <t>Telepon 99 buah x 12 bulan, air 551 meter x 12 bulan, listrik 551 dak x 12 bulan, internet 99 ISP x 12 bulan</t>
  </si>
  <si>
    <t>Jumlah tanah yang disewa</t>
  </si>
  <si>
    <t>Stadion Jeruksari 1 tahun, gedung kesenian baleharjo 1 Tahun dan sekolah 33 sekolah</t>
  </si>
  <si>
    <t>Jumlah kendaraan dinas yang terbayarkan pajaknya</t>
  </si>
  <si>
    <t>Roda 4 = 8 buah, Roda 2 = 109 unit</t>
  </si>
  <si>
    <t>Jumlah jasa kebersihan kantor yang terbayar</t>
  </si>
  <si>
    <t>12 Bulan</t>
  </si>
  <si>
    <t>Jumlah peralatan kerja terfasilitasi : komputer, laptop, printer, mesin ketik, telepon, fax, mesin sit, mesin absen, instalasi jaringan internet</t>
  </si>
  <si>
    <t>komputer 385 buah, laptop 99 buah, mesin ketik 70 buah, telepon 97 buah, fax 48 buah, mesin sit 58 buah, mesin absensi 99 buah, instalasi jaringan internet 58 buah</t>
  </si>
  <si>
    <t>Jumlah dan jenis alat tulis yang tersedia</t>
  </si>
  <si>
    <t>HVS 12500 rim, buram 12500 rim, map snel 24000 lembar, stop map 24000 lembar, bolpoin 24000 buah, pensil 190 lusin, karbon 300 rim, spidol 220 lusin, tipe-ex 220 buah, penggaris 228 buah, penghapus 228 buah, penghapus 2400 buah, kapur 240000 dos dll kebutuhan KBM</t>
  </si>
  <si>
    <t>Jumlah dan jenis barang cetakan dan fotocopy</t>
  </si>
  <si>
    <t>cetak blangko 626400 buah, foto copy hvs 6060000 lembar, foto copy buram 8484000 lembar</t>
  </si>
  <si>
    <t>Jumlah dan jenis komponen listik tersedia</t>
  </si>
  <si>
    <t>Lampu TL 24240 buah, kabel/rol/saklar 24240 buah, peteng, tdos, indos dll 6060 buah</t>
  </si>
  <si>
    <t>Peralatan dan perlengkapan kantor tersedia : laptop, LCD proyektor, Printer, komputer, Mesin ketik, Server</t>
  </si>
  <si>
    <t>Laptop 10 buah, LCD proyektor 3 buah, printer 4 buah, komputer 10 unit, mesin ketik 12 buah, server 2 buah sekolah 97 sekolah</t>
  </si>
  <si>
    <t>Jumlah dan jenis bahan dan peralatan kebersihan yang tersedia</t>
  </si>
  <si>
    <t xml:space="preserve">Pewangi ruangan 600 buah, sulak 1274 buah, sapu ijuk 1274 buah, tisu 900 buah, serbet 50 buah, pembersih kaca 25 botol, tempat sampah 50 buah, keset 50 buah, gayung air 30 buah </t>
  </si>
  <si>
    <t>Jumlah buku bacaan/referensi, majalah, surat kabar yang terbayar</t>
  </si>
  <si>
    <t>Kedaulatan Rakyat 3 buah, Harian jogja 1 buah, kompas 1 buah x 12 bulan</t>
  </si>
  <si>
    <t>Jumlah GTT dan PTT database</t>
  </si>
  <si>
    <t>(GTT SD 19 orang, PTT SD 38 orang, PTT UPT TK&amp;SD 3 orang, GTT TK 18 Orang, PTT TK 2 orang, GTT SMP 18 orang, PTT SMP 15 orang, GTT SM 25 orang, PTT SM 29 orang ) x 13 bulan</t>
  </si>
  <si>
    <t>Insentif GTT/PTT/GTY/PTY (1.163 orang) APBD Kabupaten)</t>
  </si>
  <si>
    <t>816 orang x Rp. 150.000 X 12 bulan</t>
  </si>
  <si>
    <t>3.855 orang x Rp. 100.000 X 12 bulan</t>
  </si>
  <si>
    <t>Jenis data yang terkelola dan terpelihara</t>
  </si>
  <si>
    <t>35 Jenis</t>
  </si>
  <si>
    <t>Jumlah peserta yang dinyatakan lulus dalam workshop pengelolaan arsip sekolah</t>
  </si>
  <si>
    <t>199 peserta</t>
  </si>
  <si>
    <t>Rasio surat yang dikirim sampai sasaran</t>
  </si>
  <si>
    <t>Persentase terbayarnya jasa sewa</t>
  </si>
  <si>
    <t>Persentase legalitas kendaraan dinas di SKPD</t>
  </si>
  <si>
    <t>Persentase jasa kebersihan yang terbayarkan</t>
  </si>
  <si>
    <t>Persentase peralatan kerja dalam kondisi baik</t>
  </si>
  <si>
    <t>Persentase ketersediaan ATK yang memadai</t>
  </si>
  <si>
    <t>Persentase barang cetakan dan fotocopy tersedia dalam kondisi baik</t>
  </si>
  <si>
    <t>Persentase komponen listrik tersedia dalam kondisi baik</t>
  </si>
  <si>
    <t>Persentase peralatan dan perlengkapan kantor tersedia dengan baik</t>
  </si>
  <si>
    <t>Persentase peralatan kebersihan dan bahan pembersih tersedia dengan baik</t>
  </si>
  <si>
    <t>Persentase buku bacaan/referensi, majalah, surat kabar tersedia dengan baik</t>
  </si>
  <si>
    <t>Persentase GTT dan PTT database yang terbayarkan</t>
  </si>
  <si>
    <t>Persentase GTT dan PTT nondatabase yang terbayarkan</t>
  </si>
  <si>
    <t>Persentase Jenis data yang terkelola dan terpelihara dengan baik</t>
  </si>
  <si>
    <t>Persentase pengelola arsip sekolah yang paham tentang kearsipan</t>
  </si>
  <si>
    <r>
      <t xml:space="preserve">Insentif GTT/PTT/GTY/PTY (3.855 orang) </t>
    </r>
    <r>
      <rPr>
        <b/>
        <sz val="11"/>
        <rFont val="Comic Sans MS"/>
        <family val="4"/>
      </rPr>
      <t>exs APBD DIY)</t>
    </r>
  </si>
  <si>
    <r>
      <t xml:space="preserve">Jumlah dokumen monev capaian SPM yang terselesaikan dan Jumlah Tenaga Harian Lepas (THL) administrasi SPM untuk menuju </t>
    </r>
    <r>
      <rPr>
        <b/>
        <sz val="11"/>
        <rFont val="Comic Sans MS"/>
        <family val="4"/>
      </rPr>
      <t>SNP</t>
    </r>
  </si>
  <si>
    <r>
      <t xml:space="preserve">Persentase capaian SPM ke arah </t>
    </r>
    <r>
      <rPr>
        <b/>
        <sz val="11"/>
        <rFont val="Comic Sans MS"/>
        <family val="4"/>
      </rPr>
      <t>SNP</t>
    </r>
  </si>
  <si>
    <r>
      <t xml:space="preserve">-Jumlah peserta didik penerima biaya operasional pendidikan </t>
    </r>
    <r>
      <rPr>
        <b/>
        <sz val="11"/>
        <rFont val="Comic Sans MS"/>
        <family val="4"/>
      </rPr>
      <t>(BOP) PAUD</t>
    </r>
  </si>
  <si>
    <r>
      <t xml:space="preserve">Jumlah WC, pagar dan talud  SD yang selesai dibangun dari dana </t>
    </r>
    <r>
      <rPr>
        <b/>
        <sz val="11"/>
        <rFont val="Comic Sans MS"/>
        <family val="4"/>
      </rPr>
      <t>DAK</t>
    </r>
    <r>
      <rPr>
        <sz val="11"/>
        <rFont val="Comic Sans MS"/>
        <family val="4"/>
      </rPr>
      <t xml:space="preserve"> dan DAU</t>
    </r>
  </si>
  <si>
    <r>
      <rPr>
        <b/>
        <sz val="11"/>
        <rFont val="Comic Sans MS"/>
        <family val="4"/>
      </rPr>
      <t>Talud</t>
    </r>
    <r>
      <rPr>
        <sz val="11"/>
        <rFont val="Comic Sans MS"/>
        <family val="4"/>
      </rPr>
      <t xml:space="preserve"> SD Wiloso 2, SD Sawah Panggang, SD Terbah I, SD Bunder I, SD Nglegi II), </t>
    </r>
    <r>
      <rPr>
        <b/>
        <sz val="11"/>
        <rFont val="Comic Sans MS"/>
        <family val="4"/>
      </rPr>
      <t>WC</t>
    </r>
    <r>
      <rPr>
        <sz val="11"/>
        <rFont val="Comic Sans MS"/>
        <family val="4"/>
      </rPr>
      <t xml:space="preserve"> SD terbah I, SD Waduk, SD Panjatan, SD Baran, SD Pugeran, SD Semoyo, SD Sidomulyo, SD Sendangsari, SD Ngloro Saptosari, SD Natah Nglipar, SD Baleharjo Wonosari</t>
    </r>
  </si>
  <si>
    <r>
      <t xml:space="preserve">Jumlah ruang guru beserta isinya Sekolah Dasar (SD) yang selesai terbangun dari dana </t>
    </r>
    <r>
      <rPr>
        <b/>
        <sz val="11"/>
        <rFont val="Comic Sans MS"/>
        <family val="4"/>
      </rPr>
      <t>DAK</t>
    </r>
  </si>
  <si>
    <r>
      <t xml:space="preserve">Jumlah ruang perpustakaan, sanitasi beserta isinya Sekolah Dasar (SD) yang selesai terbangun dari dana </t>
    </r>
    <r>
      <rPr>
        <b/>
        <sz val="11"/>
        <rFont val="Comic Sans MS"/>
        <family val="4"/>
      </rPr>
      <t>DAK</t>
    </r>
  </si>
  <si>
    <r>
      <t xml:space="preserve">Jumlah bangunan gedung SD yang selesai direhabilitasi dari dana </t>
    </r>
    <r>
      <rPr>
        <b/>
        <sz val="11"/>
        <rFont val="Comic Sans MS"/>
        <family val="4"/>
      </rPr>
      <t>DAK Tahun 2017</t>
    </r>
  </si>
  <si>
    <r>
      <t xml:space="preserve">Jumlah dan jenis pengadaan alat praktik dan peraga siswa dari dana </t>
    </r>
    <r>
      <rPr>
        <b/>
        <sz val="11"/>
        <rFont val="Comic Sans MS"/>
        <family val="4"/>
      </rPr>
      <t>DAK Tahun 2017 dan DAU</t>
    </r>
  </si>
  <si>
    <r>
      <t xml:space="preserve">Terpenuhinya mebelair yang baik dan nyaman untuk KBM sekaligus pemenuhan </t>
    </r>
    <r>
      <rPr>
        <b/>
        <sz val="11"/>
        <rFont val="Comic Sans MS"/>
        <family val="4"/>
      </rPr>
      <t>SPM</t>
    </r>
  </si>
  <si>
    <r>
      <t xml:space="preserve">Kegiatan KBM berjalan sesuai rencana sekaligus dalam rangka pemenuhan </t>
    </r>
    <r>
      <rPr>
        <b/>
        <sz val="11"/>
        <rFont val="Comic Sans MS"/>
        <family val="4"/>
      </rPr>
      <t>SPM</t>
    </r>
  </si>
  <si>
    <r>
      <t xml:space="preserve">Terpenuhinya mebelair yang baik dan nyaman untuk KBM dan dalam rangka pemenuhan </t>
    </r>
    <r>
      <rPr>
        <b/>
        <sz val="11"/>
        <rFont val="Comic Sans MS"/>
        <family val="4"/>
      </rPr>
      <t>SPM</t>
    </r>
  </si>
  <si>
    <t>11,71%</t>
  </si>
  <si>
    <t>14,41%</t>
  </si>
  <si>
    <t>Persentase PNS yang memiliki kompetensi sesuai bidang tugas</t>
  </si>
  <si>
    <t>78,07 %</t>
  </si>
  <si>
    <t>78,20 %</t>
  </si>
  <si>
    <t>78,57%</t>
  </si>
  <si>
    <t>5,70%</t>
  </si>
  <si>
    <t>6,54%</t>
  </si>
  <si>
    <t>2,86%</t>
  </si>
  <si>
    <t>2,97%</t>
  </si>
  <si>
    <t>21 orang</t>
  </si>
  <si>
    <t>24 orang</t>
  </si>
  <si>
    <t>18 Atlet</t>
  </si>
  <si>
    <t>20 Atlet</t>
  </si>
  <si>
    <t>78,90%</t>
  </si>
  <si>
    <t>79,37%</t>
  </si>
  <si>
    <t>7,38%</t>
  </si>
  <si>
    <t>8,23%</t>
  </si>
  <si>
    <t>9,07%</t>
  </si>
  <si>
    <t>17,12%</t>
  </si>
  <si>
    <t>18,92%</t>
  </si>
  <si>
    <t>21,62%</t>
  </si>
  <si>
    <t>3,08%</t>
  </si>
  <si>
    <t>3,19%</t>
  </si>
  <si>
    <t>3,3%</t>
  </si>
  <si>
    <t>27 orang</t>
  </si>
  <si>
    <t>33 orang</t>
  </si>
  <si>
    <t>25 Atlet</t>
  </si>
  <si>
    <t>27 Atlet</t>
  </si>
  <si>
    <t>30 Atlet</t>
  </si>
  <si>
    <t>Dinas Dikpora dan UPT TK &amp; SD Kecamatan</t>
  </si>
  <si>
    <t xml:space="preserve">2 PAUD terpadu percontohan Kecamatan </t>
  </si>
  <si>
    <t>UPT TK &amp; SD</t>
  </si>
  <si>
    <t>- Stadion   Handayani</t>
  </si>
  <si>
    <t>Persentase kesesuaian program dalam Renja PD terhadap RKPD, dan Renstra PD terhadap RPJMD</t>
  </si>
  <si>
    <t>Kesesuaian antar lembaga dalam dokumen perencanaan pembangunan daerah</t>
  </si>
  <si>
    <t xml:space="preserve">Meningkatnya capaian SPM  menuju Standar Nasional Pendidikan </t>
  </si>
  <si>
    <t>Meningkatkan kualitas layanan pendidikan serta prestasi pemuda dan olahraga</t>
  </si>
  <si>
    <t>Meningkatnya angka melek aksara</t>
  </si>
  <si>
    <t>Meningkatnya prestasi pemuda dan olahraga</t>
  </si>
  <si>
    <t>Presentasi Akumulasi capaian rata-rata SPM Pendidikan Dasar</t>
  </si>
  <si>
    <t>Presentase melek aksara penduduk umur 15 tahun sampai dengan 56 tahun</t>
  </si>
  <si>
    <t>Jumlah Prestasi pemuda ditingkat provinsi dan/atau regional dan nasional</t>
  </si>
  <si>
    <t>Nilai IKM Perangkat Daerah</t>
  </si>
  <si>
    <t>Persentase laporan keuangan disusun tepat waktu</t>
  </si>
  <si>
    <t>Persentase kesesuaian program dalam 1. renja PD terhadap RKPD, 2. Renstra PD terhadap RPJMD</t>
  </si>
  <si>
    <t xml:space="preserve">Penyediaan Barang Cetakan dan Penggandaan </t>
  </si>
  <si>
    <t>Penyediaan Komponen Istalasi Listrik/Penerangan Bangunan Kantor</t>
  </si>
  <si>
    <t>Penyelenggaraan Forum SKPD/Forum Gabungan SKPD</t>
  </si>
  <si>
    <t>Pengadaan sarana prasarana sekolah PAUD</t>
  </si>
  <si>
    <t>Pemeliharaan sarana prasarana sekolah PAUD</t>
  </si>
  <si>
    <t>Pelatihan kompetensi tenaga pendidik PAUD</t>
  </si>
  <si>
    <t>Pembinaan kelembagaan dan manajemen sekolah tingkat SD/MI</t>
  </si>
  <si>
    <t>Pembinaan kelembagaan dan manajemen sekolah tingkat SMP/MTS</t>
  </si>
  <si>
    <t>Pelatihan kompetensi tenaga pendidik menengah</t>
  </si>
  <si>
    <t>Pengembangan kebijakan pendidikan non formal</t>
  </si>
  <si>
    <t>Pendampingan pekan temu wicara organisasi pemuda</t>
  </si>
  <si>
    <t>Telepon 12 bulan, air 12 bulan, listrik 12 bulan, internet 12 bulan</t>
  </si>
  <si>
    <t>Stadion Jeruksari 1 tahun, gedung kesenian baleharjo 1 Tahun dan sekolah 30 sekolah</t>
  </si>
  <si>
    <t>Roda 4 = 7 buah, Roda 2 = 109 unit</t>
  </si>
  <si>
    <t>komputer 361 buah, laptop 92 buah, mesin ketik 69 buah, telepon 97 buah, fax 48 buah, mesin sit 57 buah, mesin absensi 99 buah, instalasi jaringan internet 58 buah</t>
  </si>
  <si>
    <t>HVS 12145 rim, buram 12500 rim, map snel 24000 lembar, stop map 24000 lembar, bolpoin 24000 buah, pensil 190 lusin, karbon 300 rim, spidol 220 lusin, tipe-ex 220 buah, penggaris 228 buah, penghapus 228 buah, penghapus 2400 buah, kapur 240000 dos dll kebutuhan KBM</t>
  </si>
  <si>
    <t>cetak blangko 620685 buah, foto copy hvs 6060000 lembar, foto copy buram 8484000 lembar</t>
  </si>
  <si>
    <t>Lampu TL 24218 buah, kabel/rol/saklar 24240 buah, peteng, tdos, indos dll 6060 buah</t>
  </si>
  <si>
    <t>Laptop 8 buah, LCD proyektor 3 buah, printer 4 buah, komputer 10 unit, sekolah 95 sekolah</t>
  </si>
  <si>
    <t xml:space="preserve">Pewangi ruangan 400 buah, sulak 600 buah, sapu ijuk 400 buah, tisu 700 buah, serbet 50 buah, pembersih kaca 25 botol, tempat sampah 50 buah, keset 50 buah, gayung air 30 buah, </t>
  </si>
  <si>
    <t>Kedaulatan Rakyat 2 buah, Harian jogja 1 buah, kompas 1 buah x 12 bulan</t>
  </si>
  <si>
    <t>makanan dan minuman rapat 32000 OH, makanan dan minuman tamu 380 OH</t>
  </si>
  <si>
    <t>Dalam daerah =  13820 OP, Luar daerah = 150 OP, uang representasi 18 OP, tiket 1 LS, transport lokal 130 OP, penginapan 260 OH, Uang saku/uang harian 260 OH</t>
  </si>
  <si>
    <t>935 orang x Rp. 150.000 X 12 bulan</t>
  </si>
  <si>
    <t>Gudang peralatan PO = 6 x 12, UPT Semin = 9 x 12</t>
  </si>
  <si>
    <t>AC bidang PO, SKB, Paudni dan Laborat komputer sekolah 76 buah, Korden ruang kerja gedung baru 90 meter, Tabung pemadam kebakaran 10 buah, CCTV sekolah 102 buah, peralatan jaringan komputer 1 buah, jam dinding 102 buah, kipas angin kelas 102 KPA, Penambahan daya listrik 10 sekolah, tralis laborat sekolah 10 buah</t>
  </si>
  <si>
    <t>meja kerja = 10 Buah, kursi kerja 500 buah, meja kursi tamu 1 set</t>
  </si>
  <si>
    <t>Pengecatan dinding, atap, lantai, pintu &amp; jendela, kamar mandi 97 KPA dan ruang komputer</t>
  </si>
  <si>
    <t>servis dan penggantian suku cadang roda 4 100 buah, BBM roda 2 100 buah, BBM roda 4 8 buah, pengganti accu roda 2 100 buah, accu roda 4 8 buah</t>
  </si>
  <si>
    <t>AC dll 4 buah</t>
  </si>
  <si>
    <t>meja 7280 buah, kursi 36520 buah, almari 8280 buah</t>
  </si>
  <si>
    <t>dinas dikpora 1 paket dan UPT Tepus, Rongkop, tanjungsari dan ngawen 1 Paket</t>
  </si>
  <si>
    <t>200 orang</t>
  </si>
  <si>
    <t>160 orang</t>
  </si>
  <si>
    <t>80 orang</t>
  </si>
  <si>
    <t>18 UPT / 80 Sekolah</t>
  </si>
  <si>
    <t>Eselon IV (KTU)</t>
  </si>
  <si>
    <t>525 Orang</t>
  </si>
  <si>
    <t>1 Orang</t>
  </si>
  <si>
    <t>132 orang dan PAK 15564</t>
  </si>
  <si>
    <t>1 dokumen &amp; 1 orang</t>
  </si>
  <si>
    <t>60 OM, Sertifikat NPSN 2204 sekolah, server 1 set dan aplikasi Sim rasio</t>
  </si>
  <si>
    <t>2 dokumen &amp; 1 orang, server 1 set &amp; aplikasi SPM</t>
  </si>
  <si>
    <t>80 sekolah &amp; 12 Dikpora</t>
  </si>
  <si>
    <t>102 pegawai</t>
  </si>
  <si>
    <t>Ruang Kelas, Ruang Guru, perpustakaan, laboratorium dll12 TK Pembina</t>
  </si>
  <si>
    <t>12 Paud Terpadu</t>
  </si>
  <si>
    <t>18 Paket</t>
  </si>
  <si>
    <t>2 Paket</t>
  </si>
  <si>
    <t>mebelair, alat peraga, perlengkapan KBM, sanitasi 12 TK Pembina</t>
  </si>
  <si>
    <t>500 pendidik</t>
  </si>
  <si>
    <t>18 kecamatan</t>
  </si>
  <si>
    <t>100 pendidik</t>
  </si>
  <si>
    <t>53 Paket</t>
  </si>
  <si>
    <t>38 Sekolah</t>
  </si>
  <si>
    <t>19 Sekolah</t>
  </si>
  <si>
    <t>6 sekolah</t>
  </si>
  <si>
    <t>3 sekolah</t>
  </si>
  <si>
    <t>14 sekolah</t>
  </si>
  <si>
    <t>39 sekolah</t>
  </si>
  <si>
    <t>15 sekolah</t>
  </si>
  <si>
    <t>32 sekolah dasar</t>
  </si>
  <si>
    <t>25 Sekolah</t>
  </si>
  <si>
    <t>364 sekolah</t>
  </si>
  <si>
    <t>16 Sekolah</t>
  </si>
  <si>
    <t>SD 40 PAKET</t>
  </si>
  <si>
    <t>5 sekolah</t>
  </si>
  <si>
    <t>24 sekolah</t>
  </si>
  <si>
    <t>500 Orang</t>
  </si>
  <si>
    <t>60 Orang</t>
  </si>
  <si>
    <t>SD = 12 SDSN, SD = 107 RSSN, SD = 1 SDSN_A+</t>
  </si>
  <si>
    <t>SD :46,332 Siswa</t>
  </si>
  <si>
    <t>SD = 36</t>
  </si>
  <si>
    <t>SD 250 Sekolah</t>
  </si>
  <si>
    <t>SD 46,332 Siswa @ 3000</t>
  </si>
  <si>
    <t>17 Sekolah</t>
  </si>
  <si>
    <t>2 sekolah SMP</t>
  </si>
  <si>
    <t>1 Sekolah</t>
  </si>
  <si>
    <t>16 sekolah</t>
  </si>
  <si>
    <t>4 sekolah</t>
  </si>
  <si>
    <t>13 Sekolah</t>
  </si>
  <si>
    <t>12 Sekolah</t>
  </si>
  <si>
    <t>SMP 22 sekolah</t>
  </si>
  <si>
    <t>7 sekolah</t>
  </si>
  <si>
    <t>25 sekolah</t>
  </si>
  <si>
    <t>59 sekolah</t>
  </si>
  <si>
    <t>SMP 150 x 3 hari</t>
  </si>
  <si>
    <t>440 warga belajar</t>
  </si>
  <si>
    <t>1 SSN, 19 RSSN</t>
  </si>
  <si>
    <t>SMP : 18.568 Sswa</t>
  </si>
  <si>
    <t>2 sekolah</t>
  </si>
  <si>
    <t>150 Siswa</t>
  </si>
  <si>
    <t>600 warga belajar</t>
  </si>
  <si>
    <t>5 SMA</t>
  </si>
  <si>
    <t>1. SMK 1 Purwosari</t>
  </si>
  <si>
    <t>2. SMK 1 Tanjungsari</t>
  </si>
  <si>
    <t>SMK 1 Tanjungsari 250 Siswa dan 9 orang THL</t>
  </si>
  <si>
    <t>SMK 1 Tanjungsari</t>
  </si>
  <si>
    <t>SMA = 2.034</t>
  </si>
  <si>
    <t>SMK = 3,043</t>
  </si>
  <si>
    <t>Tim managemen BOS Kab.</t>
  </si>
  <si>
    <t>SMA &amp; SMK</t>
  </si>
  <si>
    <t>255 siswa</t>
  </si>
  <si>
    <t>Guru SMA &amp; SMK</t>
  </si>
  <si>
    <t>SMA 10 sekolah, SMK 12 sekolah</t>
  </si>
  <si>
    <t>Komp 400 orang, MGMP 150 Orang</t>
  </si>
  <si>
    <t>Kasubag TU = 22, Laboran IPA SMA 33, LaboranTIK SMK 12, Bengkel SMK = 12, Pustakawan = 22</t>
  </si>
  <si>
    <t>150 orang</t>
  </si>
  <si>
    <t>10000 warga belajar</t>
  </si>
  <si>
    <t>220 orang</t>
  </si>
  <si>
    <t>6 Kali</t>
  </si>
  <si>
    <t>1213 sekolah</t>
  </si>
  <si>
    <t>4 Kali</t>
  </si>
  <si>
    <t>1000 pemuda</t>
  </si>
  <si>
    <t>25 OKP / kelompok</t>
  </si>
  <si>
    <t>Masyarakat umum dan siswa</t>
  </si>
  <si>
    <t>350 stel</t>
  </si>
  <si>
    <t>5 kelompok</t>
  </si>
  <si>
    <t>10 Cabang  OR</t>
  </si>
  <si>
    <t>17 cabor, 52 club, 3 PPLP</t>
  </si>
  <si>
    <t>180 Stel</t>
  </si>
  <si>
    <t>10 cabang OR dan 250 OR</t>
  </si>
  <si>
    <t>4 regu</t>
  </si>
  <si>
    <t>7 sarana olahraga</t>
  </si>
  <si>
    <t>4 kegiatan : -Stadion Handayani - sarana olahraga komplek Setda -papan panjat tebing -lapangan voli indoor -lapangan tenis</t>
  </si>
  <si>
    <t>Pembayaran jasa kebersihan kantor</t>
  </si>
  <si>
    <t>Jumlah alat tulis</t>
  </si>
  <si>
    <t>Jumlah barang cetakan dan fotocopy</t>
  </si>
  <si>
    <t>Komponen listik tersedia</t>
  </si>
  <si>
    <t>Peralatan dan perlengkapan kantor tersedia : laptop, LCD proyektor, Printer, komputer</t>
  </si>
  <si>
    <t>Jumlah bahan dan peralatan kebersihan</t>
  </si>
  <si>
    <t>Jumlah buku bacaan/referensi, majalah, surat kabar</t>
  </si>
  <si>
    <t>Frekuensi rapat konsultasi, dan koordinasi</t>
  </si>
  <si>
    <t>Insentif GTT/PTT/GTY/PTY (935 orang) APBD Kabupaten)</t>
  </si>
  <si>
    <t>Jenis dan luasan gedung kantor yang dibangun = pembangunan taman dan pengerasan halaman SKB serta gedung baru UPT TK dan SD Kec. Semin</t>
  </si>
  <si>
    <t>Jumlah dan jenis gedung kantor yang direhabilitasi = gedung utama Dinas Dikpora dan UPT Tepus</t>
  </si>
  <si>
    <t>Persentase aparatur  sipil taat aturan</t>
  </si>
  <si>
    <t>Jumlah ASN yang dikirim mengikuti diklat</t>
  </si>
  <si>
    <t>- Diklat peningkatan kompetensi Kepala sekolah dan pengawas SD, SMP</t>
  </si>
  <si>
    <t>- Pengiriman diklat pengawas SD, SMP</t>
  </si>
  <si>
    <t>- Pengiriman diklat pembinaan tenaga administrasi</t>
  </si>
  <si>
    <t>- Jumlah peserta diklat Out Word Band</t>
  </si>
  <si>
    <t>- Penyelenggaraan diklat  penilaian kendali pelayanan</t>
  </si>
  <si>
    <t>- Penyelenggaraan Diklat peningkatan kapabilitas kepemimpinan</t>
  </si>
  <si>
    <t>- Diklat asesor PKG dan PKB</t>
  </si>
  <si>
    <t>- Pelatihan EQP ( Kepala SKPD)</t>
  </si>
  <si>
    <t>Jumlah tenaga fungsional yang dinilai</t>
  </si>
  <si>
    <t>Persentase Laporan Keuangan yang disusun tepat waktu</t>
  </si>
  <si>
    <t>Dokumen LAKIP</t>
  </si>
  <si>
    <t>Dokumen laporan keuagan semesteran</t>
  </si>
  <si>
    <t>Dokumen Laporan Keuangan Akhir Tahun</t>
  </si>
  <si>
    <t>Dokumen Laporan Keuangan Bulanan</t>
  </si>
  <si>
    <t>Nilai IKM SKPD</t>
  </si>
  <si>
    <t xml:space="preserve">Dokumen profil &amp; Tenaga Harian Lepas (THL) pendataan Data Pokok Pendidikan </t>
  </si>
  <si>
    <t>- Website semua satuan pendidikan</t>
  </si>
  <si>
    <t>- Tim pengembang SIMP</t>
  </si>
  <si>
    <t>- Pelatihan IT</t>
  </si>
  <si>
    <t xml:space="preserve">Dokumen Pengukuran IKM </t>
  </si>
  <si>
    <t>Dokumen Rencana Tindak Pengendalian (RTP)</t>
  </si>
  <si>
    <t>Dokumen monev capaian SPM dan Jumlah Tenaga Harian Lepas (THL) administrasi SPM</t>
  </si>
  <si>
    <t>Persentase Dokumen Perencanaan dan Pelaporan SKPD yang disusun tepat waktu</t>
  </si>
  <si>
    <t xml:space="preserve">Dokumen  rencana strategis SKPD dan evaluasi </t>
  </si>
  <si>
    <t>workshop penyusunan renstra UPT</t>
  </si>
  <si>
    <t>- Dokumen renja, RKA, DPA, Renja perubahan, RKAP, DPPA</t>
  </si>
  <si>
    <t>- Operator SIPKD</t>
  </si>
  <si>
    <t>- Operator SIPKD Aset</t>
  </si>
  <si>
    <t>- Bimbingan teknis perencanaan, Penganggaran dan penatausahaan keuangan SKPD dan UPT</t>
  </si>
  <si>
    <t>Dokumen hasil pelaksanaan forum SKPD</t>
  </si>
  <si>
    <t>Dokumen Pengendalian SKPD</t>
  </si>
  <si>
    <t>Angka partisipasi kasar pada pendidikan usia dini</t>
  </si>
  <si>
    <t>Jumlah dan jenis gedung yang akan dibangun : TK Pembina Kecamatan (lajutan tahun 2013)</t>
  </si>
  <si>
    <t>- pagar &amp; halaman bermain TK Pembina Kecamatan</t>
  </si>
  <si>
    <t>-PAUD terpadu percontohan di kecamatan</t>
  </si>
  <si>
    <t>-Ruang Guru TK Pembina Kecamatan</t>
  </si>
  <si>
    <t>Jumlah pemeliharaan bangunan sekolah</t>
  </si>
  <si>
    <t>Jumlah pemeliharaan sarana air bersih</t>
  </si>
  <si>
    <t>Jumlah pembangunan sarana air bersih</t>
  </si>
  <si>
    <t>Jumlah buku dan alat tulis yang cukup</t>
  </si>
  <si>
    <t>- Jumlah pengadaan alat praktek dan peraga siswa TK</t>
  </si>
  <si>
    <t>- Jumlah pengadaan bahan praktek siswa TK</t>
  </si>
  <si>
    <t>- Jumlah pengadaan bahan praktek siswa PAUD</t>
  </si>
  <si>
    <t>Jumlah pelatihan kompetensi tenaga pendidik PAUD formal dan non formal tingkat dasar dan lanjutan</t>
  </si>
  <si>
    <t>- Jumlah pengembangan PAUD</t>
  </si>
  <si>
    <t>- Jumlah peserta workshop pemahaman terhadap pengelelola PAUD</t>
  </si>
  <si>
    <t>- Jumlah peserta Workshop pendidik PAUD</t>
  </si>
  <si>
    <t>- Jumlah peserta lomba untuk lembaga, pendidik dan anak didik usia dini</t>
  </si>
  <si>
    <t>- Jumlah PAUD yang mengikuti gebyar PAUD Se-Kab</t>
  </si>
  <si>
    <t>- Jumlah Bantuan Operasional Pendidikan (BOP) PAUD</t>
  </si>
  <si>
    <t>- Jumlah peserta workshop kualitas pengelolaan lembaga PAUD Percontohan</t>
  </si>
  <si>
    <t>Dokumen profil PAUD</t>
  </si>
  <si>
    <t>Dokumen pengembangan kurikulum, bahan ajar dan model pembelajaran pendidikan anak usia dini</t>
  </si>
  <si>
    <t>Angka Partisipasi Murni SD</t>
  </si>
  <si>
    <t>Jumlah pembangunan ruang kelas beserta isinya, WC dan pagar SD</t>
  </si>
  <si>
    <t>Jumlah pembangunan ruang guru beserta isinya Sekolah Dasar (SD)</t>
  </si>
  <si>
    <t>Jumlah pembangunan perpustakaan SD</t>
  </si>
  <si>
    <t>Jumlah ruang kelas yang dipelihara</t>
  </si>
  <si>
    <t>Jumlah rehabilitasi bangunan gedung untuk SD</t>
  </si>
  <si>
    <t>Jumlah pengadaan alat praktik dan peraga siswa</t>
  </si>
  <si>
    <t xml:space="preserve">Jumlah  mebelair </t>
  </si>
  <si>
    <t>Jumlah pemeliharaan jaringan listrik sekolah</t>
  </si>
  <si>
    <t>Jumlah pemeliharaan komputer dan peralatan networking dll</t>
  </si>
  <si>
    <t>- Jumlah siswa yang mengikuti olimpiade MIPA</t>
  </si>
  <si>
    <t>- Jumlah peserta lomba kreatifitas</t>
  </si>
  <si>
    <t>- Jumlah  peserta penyempurnaan  kurikulum SD dan Pelatihan implementasi kurikulum SD</t>
  </si>
  <si>
    <t>- Jumlah peserta lomba kreatifitas Guru dan anak TK</t>
  </si>
  <si>
    <t xml:space="preserve">- Jumlah Kepala Sekolah yang menerapkan MBS </t>
  </si>
  <si>
    <t>- Jumlah sekolah  Rintisan Sekolah Standar Nasional (RSSN) , dan Sekolah Standar Nasional (SSN )</t>
  </si>
  <si>
    <t>- Jumlah siswa penerima Biaya Operasional Sekolah Daerah (BOSDA) Kabupaten</t>
  </si>
  <si>
    <t xml:space="preserve">1. Jumlah sekolah yang menerapkan kesetaraan  gender </t>
  </si>
  <si>
    <t>2. Jumlah siswa penerima Bantuan beasiswa bakat dan prestasi SD</t>
  </si>
  <si>
    <t>3. Jumlah Asesmen siswa baru SD</t>
  </si>
  <si>
    <t>1. Jumlah peserta Pelatihan pembelajaran berbasis IT</t>
  </si>
  <si>
    <t>2. Jumlah peserta pelatihan pembelajaran berbasis  IT</t>
  </si>
  <si>
    <t>1. Jumlah SD yang diakreditasi</t>
  </si>
  <si>
    <t>Angka Partisipasi Murni SMP</t>
  </si>
  <si>
    <t>Jumlah pembangunan pagar SMP</t>
  </si>
  <si>
    <t>Jumlah pembangunan gedung laboratorium komputer SMP dan ruang kesenian SMP</t>
  </si>
  <si>
    <t>Jumlah pembangunan ruang perpustakaan SMP dan isinya</t>
  </si>
  <si>
    <t>Jumlah pengadaan Mebelair perpustakaan, lab IPA, ruang kelas SMP</t>
  </si>
  <si>
    <t>Jumlah pemilihan siswa peserta olimpiade MIPA SMP</t>
  </si>
  <si>
    <t>Jumlah peserta bimtek Penyesuaian kurikulum SMP</t>
  </si>
  <si>
    <t>Jumlah warga belajar pendidikan kesetaraan paket B setara SMP di masyarakat</t>
  </si>
  <si>
    <t>Jumlah peserta kinerja kepala sekolah</t>
  </si>
  <si>
    <t>Jumlah sekolah  Rintisan Sekolah Standar Nasional (RSSN) , dan Sekolah Standar Nasional (SSN )</t>
  </si>
  <si>
    <t>Jumlah penerima Biaya Operasional Sekolah Daerah (BOSDA) Kabupaten</t>
  </si>
  <si>
    <t>Jumlah pengembangan SMP kecil/baru</t>
  </si>
  <si>
    <t>1. Jumlah pembinaan kelas olahraga jenjang SMP</t>
  </si>
  <si>
    <t>2. Jumlah sekolah yang mengimplementasian gender dalam pendidikan</t>
  </si>
  <si>
    <t>4. Jumlah penerima Bantuan beasiswa bakat dan prestasi SMP</t>
  </si>
  <si>
    <t>Jumlah peserta pengembangan pembelajaran menggunakan CTL</t>
  </si>
  <si>
    <t>1. Jumlah penyusunan media  pembelajaran berbasis IT</t>
  </si>
  <si>
    <t>1. Jumlah Akreditasi Sekolah jenjang SMP</t>
  </si>
  <si>
    <t>Angka Partisipasi Murni SMA &amp; SMK</t>
  </si>
  <si>
    <t>Jumlah Pemeliharaan rutin berkala bangunan sekolah</t>
  </si>
  <si>
    <t>Jumlah pemeliharaan lapangan olahraga sekolah</t>
  </si>
  <si>
    <t>Jumlah pemeliharaan taman sekolah</t>
  </si>
  <si>
    <t>Jumlah pemeliharaan ruang ibadah</t>
  </si>
  <si>
    <t>Jumlah pemeliharaan jaringan instalasi listrik</t>
  </si>
  <si>
    <t>Jumlah pemeliharaan sarana air bersih dan sanitasy</t>
  </si>
  <si>
    <t>Jumlah pemeliharaan mebelair sekolah</t>
  </si>
  <si>
    <t>Jumlah pemeliharaan perlengkapan networking</t>
  </si>
  <si>
    <t>Jumlah pemilihan siswa peserta OSN SMA dan LKS SMK</t>
  </si>
  <si>
    <t>Workshop penyesuaian Kurikulum SMA dan SMK sesuai kebutuhan sosial masyarakat dan kondisi budaya, usia peserta didik dan kebutuhan pembelajaran</t>
  </si>
  <si>
    <t>Pendidikan paket C stara SMA kelas X, XI, XII</t>
  </si>
  <si>
    <t>Pengembangan sekolah RSSN SMA dan SMK di Kab. GK</t>
  </si>
  <si>
    <t>Pengembangan sekolah Keunggulan lokal dan jumlah Tenaga Harian Lepas (THL) di sekolah keunggulan lokal</t>
  </si>
  <si>
    <t>Bantuan beasiswa bagi siswa tidak mampu</t>
  </si>
  <si>
    <t>BOSDA SMA &amp; SMK</t>
  </si>
  <si>
    <t>Negeri</t>
  </si>
  <si>
    <t>Tim Managemen BOS Kabupaten untuk SMA dan SMK</t>
  </si>
  <si>
    <t>1. Pembinaan kelas olahraga jenjang SMA</t>
  </si>
  <si>
    <t>2. Pengimplementasian gender dalam pendidikan</t>
  </si>
  <si>
    <t>Workshop pengembangan metode belajar &amp; mengajar dengan menggunakan TIK</t>
  </si>
  <si>
    <t>Jumlah SSN (sekolah standar nasional), verifikasi program keahlian baru dan lanjutan, pendirian sekolah baru dan verifikasi uji kompetensi</t>
  </si>
  <si>
    <t>Persentase capaian nilai Ujian Nasional Tingkat SD sesuai standart kelulusan</t>
  </si>
  <si>
    <t>Jumlah Peserta Pelatihan kompetensi tenaga pendidik dan workshop MGMP 12 Mapel</t>
  </si>
  <si>
    <t>Pelatihan guru pengembang matematika</t>
  </si>
  <si>
    <t>Pelatihan Peningkatan kapasitas guru konsultatif inklusi tk kec.</t>
  </si>
  <si>
    <t>Jumlah guru yang dilatih PK/PLK penyelenggara inklusif</t>
  </si>
  <si>
    <t>jumlah peserta KKG, Lomba Gugus</t>
  </si>
  <si>
    <t>Jumlah guru kepala sekolah dan pengawas yang diseleksi dan dinilai</t>
  </si>
  <si>
    <t>Persentase capaian nilai Ujian Nasional Tingkat SMP sesuai standart kelulusan</t>
  </si>
  <si>
    <t>Pelatihan kompetensi tenaga pendidik dan workshop MGMP 12 Mapel</t>
  </si>
  <si>
    <t>jumlah peserta Pelatihan guru PK/PLK sekolah penyelenggaran inklusi</t>
  </si>
  <si>
    <t>WOMS</t>
  </si>
  <si>
    <t>Pelatihan Lesson Study</t>
  </si>
  <si>
    <t>Bimtek petugas perpustakaan</t>
  </si>
  <si>
    <t>Pelatihan guru /kepala sekolah</t>
  </si>
  <si>
    <t>MGMP SMP</t>
  </si>
  <si>
    <t>Jumlah guru guru dan kepala sekolah yang terseleksi menjadi guru dan kepala sekolah teladan</t>
  </si>
  <si>
    <t>Persentase capain nilai Ujian Nasional Tingkat SMA dan SMK sesuai standart kelulusan</t>
  </si>
  <si>
    <t>jumlah tenaga pendidik dan tenaga kepaendidikan yang dilatih</t>
  </si>
  <si>
    <t>Jumlah guru yang didiklat alih fungsi</t>
  </si>
  <si>
    <t>jumlah tenaga kependidikan yang dilatih</t>
  </si>
  <si>
    <t xml:space="preserve">jumlah kepala sekolah yang dinilai </t>
  </si>
  <si>
    <t>MGMP SM</t>
  </si>
  <si>
    <t>Cakupan penduduk usia 10 tahun keatas melek huruf</t>
  </si>
  <si>
    <t>Frekuensi workshop pemberdayaan tenaga pendidikan</t>
  </si>
  <si>
    <t>Frekuensi workshop pendidikan non formal di masyarakat</t>
  </si>
  <si>
    <t>Jumlah Peserta keaksaraan</t>
  </si>
  <si>
    <t>Jumlah kursus yang dilaksanakan</t>
  </si>
  <si>
    <t>Jumlah Tempat Belajar Masyarakat (TBM) keliling</t>
  </si>
  <si>
    <t>Dokumen data dan informasi  Pendidikan Non Formal</t>
  </si>
  <si>
    <t>Frekwensi sosialisasi SKK pendidikan keaksaraan</t>
  </si>
  <si>
    <t>Dokumen  kurikulum &amp; bahan ajar</t>
  </si>
  <si>
    <t>Persentase kinerja peningkatan mutu pendidikan</t>
  </si>
  <si>
    <t xml:space="preserve"> Jumlah Tes Pengendali mutu, Try Out Ujian, Ujian Praktek, Ujian Daerah yang dilaksanakan</t>
  </si>
  <si>
    <t>Jumlah raport dan buku induk SD</t>
  </si>
  <si>
    <t>Jumlah kisi-kisi dan soal evaluasi belajar yang disusun</t>
  </si>
  <si>
    <t>Jumlah sekolah dilakukan pemberian pedoman, bimbingan, supervisi, konultasi pendidikan dan pelatihan BOS Dikdas</t>
  </si>
  <si>
    <t>Jumlah sekolah dilakukan pemberian pedoman, bimbingan, supervisi, konultasi pendidikan dan pelatihan BOP PAUD</t>
  </si>
  <si>
    <t>Frekuensi Pembinaan</t>
  </si>
  <si>
    <t>Dokumen profil pendidikan kabupaten</t>
  </si>
  <si>
    <t xml:space="preserve">Jumlah seminar yang dilaksanakan </t>
  </si>
  <si>
    <t>Jumlah pemuda yang mandiri dan berdaya saing</t>
  </si>
  <si>
    <t xml:space="preserve">jumlah organisasi kepemudaan </t>
  </si>
  <si>
    <t xml:space="preserve">Frekuensi kegiatan dan pertukaran pemuda </t>
  </si>
  <si>
    <t xml:space="preserve">Frekuensi dialog yang dilaksanakan </t>
  </si>
  <si>
    <t xml:space="preserve">jumlah peserta lomba kreatifitas yang dilaksanakan </t>
  </si>
  <si>
    <t>Jumlah peserta lomba MTQ</t>
  </si>
  <si>
    <t>Jumlah seragam peserta, hakim ketua, hakim anggota, quis master, panitera, panitia dan pendamping</t>
  </si>
  <si>
    <t>Jumlah anggota PASKIBRAKA dan tenaga harian lepas</t>
  </si>
  <si>
    <t>Jumlah wirausaha muda</t>
  </si>
  <si>
    <t xml:space="preserve">Jumlah kelompok yang dilatih </t>
  </si>
  <si>
    <t>Jumlah prestasi olahraga yang diraih nasional dan internasional</t>
  </si>
  <si>
    <t>Frekuensi tri lomba juang</t>
  </si>
  <si>
    <t>Jumlah seragam yuri dan aparatur lomba lari 10 K</t>
  </si>
  <si>
    <t>Jumlah prestasi Cabang olahraga tingkat regional/ nasional/ internasional yang diraih kecamatan</t>
  </si>
  <si>
    <t>frekuensi kegiatan olahraga yang diikuti dan jumlah tenaga harian lepas</t>
  </si>
  <si>
    <t>frekunsi kegiatan olahraga rekreasi</t>
  </si>
  <si>
    <t>a. Gerakan Memasyarakatkan Olahraga dan</t>
  </si>
  <si>
    <t>frekuensi Senam yang dilakukan di kecamatan</t>
  </si>
  <si>
    <t>b. Peringatan HAORNAS</t>
  </si>
  <si>
    <t>jumlah kegiatan olahraga dalam peringatan HAORNAS</t>
  </si>
  <si>
    <t>c. Peringatan Hari Jadi Kab. Gunungkidul</t>
  </si>
  <si>
    <t>Jumlah peserta perayaan hari jadi Gunungkidul</t>
  </si>
  <si>
    <t>Jumlah hadiah lomba invitasi bola voli pantai</t>
  </si>
  <si>
    <t>Jumlah sarana dan prasarana olahraga yang memenuhi syarat</t>
  </si>
  <si>
    <t>Jumlah dan jenis sarana dan prasarana olahraga yang dipelihara</t>
  </si>
  <si>
    <t>Kelancaran melaksanakan tugas luar</t>
  </si>
  <si>
    <t>Tersedianya alat transportasi yg aman dan nyaman</t>
  </si>
  <si>
    <t>Terpenuhinya gedung perkantoran</t>
  </si>
  <si>
    <t>Terpenuhinya sarana dan prasarana perkantoran</t>
  </si>
  <si>
    <t>Kegiatan dinas dikpora berjalan lancar</t>
  </si>
  <si>
    <t xml:space="preserve">Terpenuhinya sarana transportasi </t>
  </si>
  <si>
    <t>Terpenuhi peralatan kantor</t>
  </si>
  <si>
    <t>Terpenuhi mebelair</t>
  </si>
  <si>
    <t xml:space="preserve">Persentase pemenuhan kebutuhan rehabiliasti gedung kantor </t>
  </si>
  <si>
    <t>Tersedianya ASN yang siap melaksanakan SOP sesuai Tupoksi</t>
  </si>
  <si>
    <t>Persentase Peserta Diklat yang lulus Diklat dan bersertifikat</t>
  </si>
  <si>
    <t>Tersusunya LakIP SKPD</t>
  </si>
  <si>
    <t>Dokumen laporan semesteran tersusun tepat waktu dan benar</t>
  </si>
  <si>
    <t>Tersusunya laporan semesteran SKPD</t>
  </si>
  <si>
    <t>Tersusunya laporan tahun SKPD</t>
  </si>
  <si>
    <t>Tersusunya laporan bulan SKPD</t>
  </si>
  <si>
    <t>Terpublicenya pendidikan Kab. Gunungkidul</t>
  </si>
  <si>
    <t>Meningkatkan kesadaran masyarakat akan pentingnya pendidikan</t>
  </si>
  <si>
    <t>Terukurnya IKM SKP</t>
  </si>
  <si>
    <t>Terlayaninya masyarakat dengan puas</t>
  </si>
  <si>
    <t>Kegiatan berjalan lancar</t>
  </si>
  <si>
    <t>Persentase capaian SPM</t>
  </si>
  <si>
    <t>Menjaring aspirasi dari stakeholder</t>
  </si>
  <si>
    <t>Kebutuhan sarana dan prasarana ditingkat sekolah/masyarakat dapat terkafer</t>
  </si>
  <si>
    <t>Persentase Kegiatan SKPD yang terlaksana dengan baik</t>
  </si>
  <si>
    <t>Program dapat dikendalikan sesuai rencana</t>
  </si>
  <si>
    <t>Hasil pembangunan terlaksana dengan maksimal</t>
  </si>
  <si>
    <t>Persentasi TK Pembina yang memiliki gedung representatif</t>
  </si>
  <si>
    <t>Peseentase Bangunan sekolah Pendidikan Usia Dini yang layak</t>
  </si>
  <si>
    <t>Proses belajar mengajar dapat berjalan dengan lancar</t>
  </si>
  <si>
    <t>Rasio pemenuhan kebutuhan siswa terhadap sarana dan prasaranan sekolah</t>
  </si>
  <si>
    <t>Presentase peralatan permainan yang dapat dimanfaatkan siswa</t>
  </si>
  <si>
    <t>Persentase tenaga pendidik yang memiliki kopentensi</t>
  </si>
  <si>
    <t>Terpenuhinya pendidik yang berkualitas</t>
  </si>
  <si>
    <t>Kekurangan PAUD dapat terpenuhi</t>
  </si>
  <si>
    <t>Persentase usia dini di wilayah kecamatan yang dapat mengakses pelayanan PAUD</t>
  </si>
  <si>
    <t>Sarana PAUD dapat terpenuhi</t>
  </si>
  <si>
    <t>KBM dapat berjalan dengan laancar</t>
  </si>
  <si>
    <t>Presentase tenaga pendidik yang terfasilitasi dalam penyelenggaraan PAUD</t>
  </si>
  <si>
    <t>Dokumen Profil tersusun tepat waktu</t>
  </si>
  <si>
    <t>Data PAUD</t>
  </si>
  <si>
    <t>Dokumen kurikulum  tersusun sesuai dengan kebutuhan anak didik</t>
  </si>
  <si>
    <t>Tersedianya kurikulum dan bahan ajar serta model pembelajaran PAUD</t>
  </si>
  <si>
    <t>KBM PAUD berjalan dengan lancar</t>
  </si>
  <si>
    <t>Persentasi SD yang memiliki gedung sekolah yang respresentatif</t>
  </si>
  <si>
    <t>Pembelajaran dapat berjalan dengan lancar</t>
  </si>
  <si>
    <t>Peningkatan mutu pendidikan</t>
  </si>
  <si>
    <t>persentase jumlah /luasan gedung sekolah yang baik</t>
  </si>
  <si>
    <t>Pembelajaran berjalan lancar</t>
  </si>
  <si>
    <t>Presentase gedung terrehabilitasi</t>
  </si>
  <si>
    <t>Presentase sarana dan prasarana tercukupi</t>
  </si>
  <si>
    <t>Persentase Jaringan listrik yang tersedia</t>
  </si>
  <si>
    <t xml:space="preserve">Rasio ketersediaan Kamar kecil  siswa </t>
  </si>
  <si>
    <t>Persentase siswa yang dapat menggunakan alat praktek</t>
  </si>
  <si>
    <t>Persentase ketersediaan Meja kursi</t>
  </si>
  <si>
    <t>Persentase sekolah yang terlayani  akses internet</t>
  </si>
  <si>
    <t>Persentase siswa yang menjadi juaran pada olimpiade MIPA tingkat Propinsi</t>
  </si>
  <si>
    <t>Jumlah siswa berbrestasi meningkatkan</t>
  </si>
  <si>
    <t>Peningkatan prestasi siswa</t>
  </si>
  <si>
    <t>Dokumen kurikulum yang berstandar</t>
  </si>
  <si>
    <t>Tersusunnya Kurikulum</t>
  </si>
  <si>
    <t>Sekolah dapat menyusun Kurikulum sesuai dengan kondisi lingkungan</t>
  </si>
  <si>
    <t>Presentase peserta paket A yang lulus dan melek huruf</t>
  </si>
  <si>
    <t>Pelayanan pendidikan setingkat SD terpenuhi</t>
  </si>
  <si>
    <t>Presentase sekolah yang menerapkan MBS</t>
  </si>
  <si>
    <t>Tercatatnya kinerja Kepala Sekolah</t>
  </si>
  <si>
    <t>Kepala sekolah yang mempunyai prestasi kerja</t>
  </si>
  <si>
    <t>Presentase sekolah yang melaksanakan  kegiatan yang berdasar kesetaraan gender</t>
  </si>
  <si>
    <t>Persentase guru yang menguasai pembelajaran berbasis IT</t>
  </si>
  <si>
    <t>Tersedianya media pembelajaran</t>
  </si>
  <si>
    <t>Peningkatan guru dalam penyusunan media pembelajaran</t>
  </si>
  <si>
    <t>Persentase SD yang berakreditasi memuaskan</t>
  </si>
  <si>
    <t>Meningkatnya pengelolaan sekolah</t>
  </si>
  <si>
    <t>Persentase Siswa kurang GIZI</t>
  </si>
  <si>
    <t>Persentase sekolah yang memiliki gedung dan sarana pendukung yang baik</t>
  </si>
  <si>
    <t xml:space="preserve"> Persentase pembangunan sekolah yang representatif</t>
  </si>
  <si>
    <t>Persentase Bangunan kantor yang representatif</t>
  </si>
  <si>
    <t>Tersedianya ruang kelas yg nyaman dan aman</t>
  </si>
  <si>
    <t>KBM berjalan lancar</t>
  </si>
  <si>
    <t>Persentase sarana prasarana sekolah yang representatif</t>
  </si>
  <si>
    <t>Peningkatan mutu Pendidikan</t>
  </si>
  <si>
    <t>Komponen sdarana prasarana sekolah tyersedia dengan baik</t>
  </si>
  <si>
    <t>Persentase siswa yang menjadi juara pada olimpiade MIPA Tingkat Propinsi</t>
  </si>
  <si>
    <t>Tersusunnya penyesuaian KTSP jenjang SMA dan SMK sesuai standar BNSP</t>
  </si>
  <si>
    <t>Peningkatan kualitas pendidik</t>
  </si>
  <si>
    <t>Presentase peserta paket B yang lulus dan melek huruf</t>
  </si>
  <si>
    <t>Pelayanan pendidikan setingkat SMP terpenuhi</t>
  </si>
  <si>
    <t>Peningkatan kesejahteraan  penduduk</t>
  </si>
  <si>
    <t>Presentase sekolah SMP yang menerapkan manajemen berbasis sekolah dengan baik</t>
  </si>
  <si>
    <t>Kegiatan SMPSN yang belum terlaksana dari sumber dana lain secara penuh dan wajar dapat terlaksana dengan baik</t>
  </si>
  <si>
    <t>Presentase siswa yang menjadi atlet tingkat propinsi</t>
  </si>
  <si>
    <t>Presentase guru yang memiliki kompetensi CTL</t>
  </si>
  <si>
    <t>Presentase guru yang mengusai pembelajaran berbasis IT</t>
  </si>
  <si>
    <t>Presentase SMP yang terakreditasi memuaskan</t>
  </si>
  <si>
    <t>Presentase gedung rusak yang dilakukan pemeliharaan</t>
  </si>
  <si>
    <t xml:space="preserve">Komponen instalasi listrik </t>
  </si>
  <si>
    <t>Terpilihnya pesrta OSN mewakili Kabupaten Gunungkidul</t>
  </si>
  <si>
    <t>Presentase Peserta paket C yang lulus dan berijazah</t>
  </si>
  <si>
    <t>Pelayanan pendidikan setingkat SMU terpenuhi</t>
  </si>
  <si>
    <t>Presentase SMA dan SMK Yng berlavel sekolah RSSN</t>
  </si>
  <si>
    <t>Mutu sekolah SSN jenjang SMA dan SMK semakin meningkat</t>
  </si>
  <si>
    <t xml:space="preserve">3. Bantuan beasiswa bakat dan prestasi </t>
  </si>
  <si>
    <t>Terbantu anak prestasi tapi kurang mampu</t>
  </si>
  <si>
    <t>Presentase sekolah yang menerapkan KBM berbasis teknologi/ informasi</t>
  </si>
  <si>
    <t>Presentasi sekolah yang terakreditasi memuaskan</t>
  </si>
  <si>
    <t>Presentasi guru dan kepala TK/SD yang memiliki kompetensi</t>
  </si>
  <si>
    <t>Peningkatan kinerja Kepala Sekolah</t>
  </si>
  <si>
    <t>Peningkatan Manajemen sekolah</t>
  </si>
  <si>
    <t>Presentase guru yang mengikuti KKG dan lomba gugus terealisasi</t>
  </si>
  <si>
    <t>Peningkatan kinerja guru</t>
  </si>
  <si>
    <t>Mutu sekolah meningkat</t>
  </si>
  <si>
    <t>Presentase guru, Kepala Sekolah yang berprestasi</t>
  </si>
  <si>
    <t>Presentasi guru dan kepala sekolah teladan</t>
  </si>
  <si>
    <t xml:space="preserve">Presentase guru dan kepala sekolah yang memiliki kompetensi </t>
  </si>
  <si>
    <t>Presentase peserta pelatihan dan workshop yang lulus sesuai kompetensi</t>
  </si>
  <si>
    <t>Presentase guru menengah yang memiliki kompetensi sesuai bidang studi yang diampu</t>
  </si>
  <si>
    <t>Presentase guru dan kepala sekolah teladan</t>
  </si>
  <si>
    <t>presentase tenaga pendidik dan tenaga kependidikan yang memiliki kompetensi</t>
  </si>
  <si>
    <t>Peningkatan kinerja tenaga pendidik</t>
  </si>
  <si>
    <t>Presentase tenaga pendidikan  non formal yangb terfasilitasi</t>
  </si>
  <si>
    <t>Pengelolaan pendidikan non formal dapat berjalan</t>
  </si>
  <si>
    <t>Presentase PKBM yang terfasilitasi</t>
  </si>
  <si>
    <t>Presentase peserta lulus kursus dan bersertifikat</t>
  </si>
  <si>
    <t>presentase peserta yang melek huruf</t>
  </si>
  <si>
    <t>Presentasi peserta yang lulus sesuai dengan standar</t>
  </si>
  <si>
    <t>Presentase pendidikan non formal yang terfasilitasi</t>
  </si>
  <si>
    <t>Dokumen tersusun tepat waktu dengan baik dan benar</t>
  </si>
  <si>
    <t>Penyebaran akses pendidikan non formal</t>
  </si>
  <si>
    <t>Pengelolaan pendidikan non formal meningkat</t>
  </si>
  <si>
    <t>Dokumen kurikulum dan bahan ajar tersusun dengan baik dan baik sesuai dengan kebutuhan</t>
  </si>
  <si>
    <t>Presentase siswa yang berprestasi dengan nilai diatas standar kelulusan</t>
  </si>
  <si>
    <t>Pengukuran hasil belajar</t>
  </si>
  <si>
    <t>Presentase guru menyusun kisi-kisi dan evaluasi belajar tepat waktu dan  benar</t>
  </si>
  <si>
    <t>Tertib administrasi sekolah</t>
  </si>
  <si>
    <t>Presentase sekolah yang terfasilitasi</t>
  </si>
  <si>
    <t>Presentase program kegiatan yang terealisasi</t>
  </si>
  <si>
    <t>Peningkatan manajemen sekolah</t>
  </si>
  <si>
    <t>Presentase dewan pendidikan yang difasilitasi</t>
  </si>
  <si>
    <t>Presentase komite sekolah yang terfasilitasi</t>
  </si>
  <si>
    <t>Tersedianya dewan pendidikan yang bekerja sesuai tupoksi</t>
  </si>
  <si>
    <t>Mutu pendidikan meningkat</t>
  </si>
  <si>
    <t>Tersedianya komite sekolah yang bekerja sesuai tupoksi</t>
  </si>
  <si>
    <t>Dokumen data tersusun secara akurat, baik dan benar</t>
  </si>
  <si>
    <t>presentase pesert seminar yang terfasilitasi</t>
  </si>
  <si>
    <t>Peningkatan kualitas tenaga administrasi keuangan</t>
  </si>
  <si>
    <t>Tersusunnya laporan keuangan yang handal</t>
  </si>
  <si>
    <t xml:space="preserve">presentase organisasi kepemudaan yang aktif </t>
  </si>
  <si>
    <t>presentase pemuda yang dikirim pertukaran pemuda</t>
  </si>
  <si>
    <t>Peningkatan kompetensi pemuda</t>
  </si>
  <si>
    <t>Presentase organisasi kepemudaan yang hadir</t>
  </si>
  <si>
    <t>presentase hasil lomba kreatifitas yang dipublikasikan</t>
  </si>
  <si>
    <t>Karya ilmiah remaja,kreasi seni dan  kreatifitas pemuda semakin meningkat</t>
  </si>
  <si>
    <t>Peningkatan kesejahteraan pemuda</t>
  </si>
  <si>
    <t>Presentase kecamatan yang memiliki pemuda pelopor lingkungan tingkat nasional</t>
  </si>
  <si>
    <t>Peningkatan peran serta pemuda dalam pembangunan</t>
  </si>
  <si>
    <t>presentase cabang MTQ yang berhasil dijuarai tingkat propinsi</t>
  </si>
  <si>
    <t>presentase anggota PASKIBRAKA yang lolos menjadi PASKIBRAKA Propinsi</t>
  </si>
  <si>
    <t>Presentase kelompok yang terfasilitasi</t>
  </si>
  <si>
    <t>Presentase event perlombaan dan pertandingan tingkat nasional dan internasional yang diakui</t>
  </si>
  <si>
    <t>Prestasi olah raga meningkat</t>
  </si>
  <si>
    <t>Presentase kejuaraan yang diraih pada kegiatan yang dilombakan</t>
  </si>
  <si>
    <t>Presentase peserta yang mengikuti kegiatan</t>
  </si>
  <si>
    <t>presentase kontingen yang berprestasi di tingkat propinsi</t>
  </si>
  <si>
    <t>Pengembangan bakat dan minat dapat optimal</t>
  </si>
  <si>
    <t>presentase kecamatan yang mengembangkan olahraga rekreasi</t>
  </si>
  <si>
    <t>peningkatan kesadaran masyarakat terhadap olahraga</t>
  </si>
  <si>
    <t>Presentase sarana olahraga tingkat kabupaten yang layak dan representatif</t>
  </si>
  <si>
    <t>Presentasi Akumulasi capaian rata-rata SPM Pendidikan Menengah</t>
  </si>
  <si>
    <t>Peningkatan Sistem Pelayanan Publik Dengan Menerapkan Prinsip-Prinsip Good Governance</t>
  </si>
  <si>
    <t>Pelayanan publik dilaksanakan sesuai standar pelayanan prima serta menciptakan iklim usaha yang kondusif;</t>
  </si>
  <si>
    <t>a. Seluruh SKPD dan pemerintahan desa memiliki aparatur yang kompeten sesuai kebutuhan serta menerapkan akuntabilitas kinerja dan bebas korupsi, kolusi, dan nepotisme;</t>
  </si>
  <si>
    <t>Seluruh SKPD dan pemerintahan desa memiliki aparatur yang kompeten sesuai kebutuhan serta menerapkan akuntabilitas kinerja dan bebas korupsi, kolusi, dan nepotisme</t>
  </si>
  <si>
    <t>Seluruh perencanaan, pelaksanaan, pengendalian, dan pelaporan dilaksanakan secara tepat waktu dan terintegrasi dengan data yang akurat</t>
  </si>
  <si>
    <t>Keberpihakan dan pemberdayaan kepada masyarakat menengah kebawah untuk memperoleh kemudahan akses layanan pendidikan, kesehatan, sosial dan budaya.</t>
  </si>
  <si>
    <t>Anak Usia Dini terlayani PUAD</t>
  </si>
  <si>
    <t>Anak usia sekolah lulus SLTA dan memiliki keterampilan bahasa Inggris, komputer, agrobisnis, dan kewirausahaan</t>
  </si>
  <si>
    <t>Keberpihakan dan pemberdayaan kepada masyarakat menengah kebawah untuk memperoleh kemudahan akses layanan pendidikan, kesehatan, sosial dan budaya</t>
  </si>
  <si>
    <t>Pemuda pemudi Gunungkidul meraih prestasi regional, nasional dan internasional.</t>
  </si>
  <si>
    <t>Tahun 2017-2021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</si>
</sst>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3" formatCode="_(* #,##0.00_);_(* \(#,##0.00\);_(* &quot;-&quot;??_);_(@_)"/>
    <numFmt numFmtId="164" formatCode="_(* #,##0.00_);_(* \(#,##0.00\);_(* &quot;-&quot;_);_(@_)"/>
    <numFmt numFmtId="165" formatCode="_(* #,##0_);_(* \(#,##0\);_(* &quot;-&quot;??_);_(@_)"/>
    <numFmt numFmtId="166" formatCode="0#"/>
    <numFmt numFmtId="167" formatCode="0.00\ &quot;%&quot;"/>
    <numFmt numFmtId="168" formatCode="_(* #,##0.000_);_(* \(#,##0.000\);_(* &quot;-&quot;???_);_(@_)"/>
  </numFmts>
  <fonts count="36" x14ac:knownFonts="1">
    <font>
      <sz val="11"/>
      <color theme="1"/>
      <name val="Calibri"/>
      <family val="2"/>
      <charset val="1"/>
      <scheme val="minor"/>
    </font>
    <font>
      <sz val="11"/>
      <color theme="1"/>
      <name val="Calibri"/>
      <family val="2"/>
      <charset val="1"/>
      <scheme val="minor"/>
    </font>
    <font>
      <sz val="10"/>
      <color theme="1"/>
      <name val="Calibri"/>
      <family val="2"/>
      <scheme val="minor"/>
    </font>
    <font>
      <sz val="10"/>
      <color theme="1"/>
      <name val="Bookman Old Style"/>
      <family val="1"/>
    </font>
    <font>
      <sz val="10"/>
      <color theme="1"/>
      <name val="Calibri"/>
      <family val="2"/>
      <charset val="1"/>
      <scheme val="minor"/>
    </font>
    <font>
      <b/>
      <sz val="10"/>
      <color theme="1"/>
      <name val="Bookman Old Style"/>
      <family val="1"/>
    </font>
    <font>
      <sz val="11"/>
      <color rgb="FFFF0000"/>
      <name val="Calibri"/>
      <family val="2"/>
      <charset val="1"/>
      <scheme val="minor"/>
    </font>
    <font>
      <b/>
      <sz val="11"/>
      <color theme="1"/>
      <name val="Calibri"/>
      <family val="2"/>
      <charset val="1"/>
      <scheme val="minor"/>
    </font>
    <font>
      <sz val="9"/>
      <name val="Comic Sans MS"/>
      <family val="4"/>
    </font>
    <font>
      <b/>
      <sz val="9"/>
      <name val="Comic Sans MS"/>
      <family val="4"/>
    </font>
    <font>
      <b/>
      <sz val="11"/>
      <color theme="1"/>
      <name val="Calibri"/>
      <family val="2"/>
      <scheme val="minor"/>
    </font>
    <font>
      <sz val="9"/>
      <color theme="1"/>
      <name val="Comic Sans MS"/>
      <family val="4"/>
    </font>
    <font>
      <b/>
      <sz val="11"/>
      <name val="Calibri"/>
      <family val="2"/>
      <scheme val="minor"/>
    </font>
    <font>
      <b/>
      <sz val="11"/>
      <color rgb="FFFF0000"/>
      <name val="Calibri"/>
      <family val="2"/>
      <scheme val="minor"/>
    </font>
    <font>
      <sz val="9"/>
      <color rgb="FF00B050"/>
      <name val="Comic Sans MS"/>
      <family val="4"/>
    </font>
    <font>
      <sz val="9"/>
      <color rgb="FFFF0000"/>
      <name val="Comic Sans MS"/>
      <family val="4"/>
    </font>
    <font>
      <b/>
      <sz val="11"/>
      <color rgb="FF0070C0"/>
      <name val="Calibri"/>
      <family val="2"/>
      <scheme val="minor"/>
    </font>
    <font>
      <sz val="11"/>
      <color theme="1"/>
      <name val="Calibri"/>
      <family val="2"/>
      <scheme val="minor"/>
    </font>
    <font>
      <sz val="11"/>
      <name val="Calibri"/>
      <family val="2"/>
      <charset val="1"/>
      <scheme val="minor"/>
    </font>
    <font>
      <b/>
      <sz val="11"/>
      <name val="Calibri"/>
      <family val="2"/>
      <charset val="1"/>
      <scheme val="minor"/>
    </font>
    <font>
      <sz val="11"/>
      <name val="Comic Sans MS"/>
      <family val="4"/>
    </font>
    <font>
      <b/>
      <sz val="11"/>
      <name val="Comic Sans MS"/>
      <family val="4"/>
    </font>
    <font>
      <sz val="11"/>
      <color theme="1"/>
      <name val="Comic Sans MS"/>
      <family val="4"/>
    </font>
    <font>
      <sz val="11"/>
      <color indexed="8"/>
      <name val="Comic Sans MS"/>
      <family val="4"/>
    </font>
    <font>
      <sz val="11"/>
      <color rgb="FF00B050"/>
      <name val="Comic Sans MS"/>
      <family val="4"/>
    </font>
    <font>
      <b/>
      <sz val="11"/>
      <color rgb="FF00B050"/>
      <name val="Comic Sans MS"/>
      <family val="4"/>
    </font>
    <font>
      <b/>
      <sz val="11"/>
      <color rgb="FF000000"/>
      <name val="Comic Sans MS"/>
      <family val="4"/>
    </font>
    <font>
      <b/>
      <sz val="11"/>
      <color theme="1"/>
      <name val="Comic Sans MS"/>
      <family val="4"/>
    </font>
    <font>
      <b/>
      <sz val="11"/>
      <color rgb="FFFF0000"/>
      <name val="Comic Sans MS"/>
      <family val="4"/>
    </font>
    <font>
      <sz val="11"/>
      <color rgb="FFFF0000"/>
      <name val="Comic Sans MS"/>
      <family val="4"/>
    </font>
    <font>
      <b/>
      <sz val="11"/>
      <color rgb="FF0070C0"/>
      <name val="Comic Sans MS"/>
      <family val="4"/>
    </font>
    <font>
      <sz val="9"/>
      <color indexed="8"/>
      <name val="Comic Sans MS"/>
      <family val="4"/>
    </font>
    <font>
      <b/>
      <sz val="9"/>
      <color rgb="FFFF0000"/>
      <name val="Comic Sans MS"/>
      <family val="4"/>
    </font>
    <font>
      <b/>
      <sz val="9"/>
      <color theme="1"/>
      <name val="Comic Sans MS"/>
      <family val="4"/>
    </font>
    <font>
      <b/>
      <sz val="9"/>
      <color rgb="FF0070C0"/>
      <name val="Comic Sans MS"/>
      <family val="4"/>
    </font>
    <font>
      <b/>
      <sz val="9"/>
      <color indexed="8"/>
      <name val="Comic Sans MS"/>
      <family val="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style="thin">
        <color auto="1"/>
      </left>
      <right/>
      <top/>
      <bottom style="thin">
        <color auto="1"/>
      </bottom>
      <diagonal/>
    </border>
    <border>
      <left style="thin">
        <color indexed="64"/>
      </left>
      <right/>
      <top style="thin">
        <color indexed="64"/>
      </top>
      <bottom/>
      <diagonal/>
    </border>
    <border>
      <left/>
      <right style="thin">
        <color auto="1"/>
      </right>
      <top style="thin">
        <color indexed="64"/>
      </top>
      <bottom/>
      <diagonal/>
    </border>
    <border>
      <left/>
      <right style="thin">
        <color auto="1"/>
      </right>
      <top/>
      <bottom/>
      <diagonal/>
    </border>
    <border>
      <left/>
      <right style="thin">
        <color auto="1"/>
      </right>
      <top/>
      <bottom style="thin">
        <color auto="1"/>
      </bottom>
      <diagonal/>
    </border>
    <border>
      <left/>
      <right/>
      <top style="thin">
        <color indexed="64"/>
      </top>
      <bottom/>
      <diagonal/>
    </border>
    <border>
      <left/>
      <right/>
      <top/>
      <bottom style="thin">
        <color auto="1"/>
      </bottom>
      <diagonal/>
    </border>
  </borders>
  <cellStyleXfs count="4">
    <xf numFmtId="0" fontId="0" fillId="0" borderId="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70">
    <xf numFmtId="0" fontId="0" fillId="0" borderId="0" xfId="0"/>
    <xf numFmtId="0" fontId="2" fillId="0" borderId="0" xfId="0" applyFont="1" applyAlignment="1">
      <alignment vertical="center" wrapText="1"/>
    </xf>
    <xf numFmtId="0" fontId="3" fillId="0" borderId="1" xfId="0" applyFont="1" applyBorder="1" applyAlignment="1">
      <alignment horizontal="center" vertical="center" wrapText="1"/>
    </xf>
    <xf numFmtId="0" fontId="4" fillId="0" borderId="0" xfId="0" applyFont="1"/>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vertical="center"/>
    </xf>
    <xf numFmtId="164" fontId="3" fillId="0" borderId="1" xfId="1" applyNumberFormat="1" applyFont="1" applyBorder="1" applyAlignment="1">
      <alignment horizontal="right" vertical="center"/>
    </xf>
    <xf numFmtId="164" fontId="5" fillId="0" borderId="1" xfId="1" applyNumberFormat="1" applyFont="1" applyBorder="1" applyAlignment="1">
      <alignment horizontal="right" vertical="center"/>
    </xf>
    <xf numFmtId="0" fontId="4" fillId="0" borderId="1" xfId="0" applyFont="1" applyBorder="1"/>
    <xf numFmtId="164" fontId="4" fillId="0" borderId="1" xfId="1" applyNumberFormat="1" applyFont="1" applyBorder="1"/>
    <xf numFmtId="0" fontId="0" fillId="0" borderId="0" xfId="0" applyFill="1"/>
    <xf numFmtId="0" fontId="8" fillId="0" borderId="0" xfId="0" applyFont="1" applyFill="1" applyAlignment="1">
      <alignment horizontal="left"/>
    </xf>
    <xf numFmtId="0" fontId="8" fillId="0" borderId="0" xfId="0" applyFont="1" applyFill="1" applyAlignment="1">
      <alignment horizontal="center"/>
    </xf>
    <xf numFmtId="0" fontId="8" fillId="0" borderId="0" xfId="0" applyFont="1" applyFill="1"/>
    <xf numFmtId="3" fontId="8" fillId="0" borderId="0" xfId="0" applyNumberFormat="1" applyFont="1" applyFill="1"/>
    <xf numFmtId="3" fontId="8" fillId="0" borderId="0" xfId="0" applyNumberFormat="1" applyFont="1" applyFill="1" applyAlignment="1">
      <alignment horizontal="right"/>
    </xf>
    <xf numFmtId="165" fontId="8" fillId="0" borderId="0" xfId="0" applyNumberFormat="1" applyFont="1" applyFill="1" applyAlignment="1">
      <alignment horizontal="left"/>
    </xf>
    <xf numFmtId="165" fontId="8" fillId="0" borderId="0" xfId="0" applyNumberFormat="1" applyFont="1" applyFill="1" applyAlignment="1">
      <alignment horizontal="left" wrapText="1"/>
    </xf>
    <xf numFmtId="165" fontId="8"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165" fontId="8" fillId="0" borderId="1" xfId="0" quotePrefix="1" applyNumberFormat="1" applyFont="1" applyFill="1" applyBorder="1" applyAlignment="1">
      <alignment horizontal="center" vertical="center" wrapText="1"/>
    </xf>
    <xf numFmtId="49" fontId="8" fillId="0" borderId="1" xfId="0" applyNumberFormat="1" applyFont="1" applyFill="1" applyBorder="1" applyAlignment="1">
      <alignment horizontal="center" wrapText="1"/>
    </xf>
    <xf numFmtId="49" fontId="8" fillId="0" borderId="1" xfId="0" applyNumberFormat="1" applyFont="1" applyFill="1" applyBorder="1" applyAlignment="1">
      <alignment horizontal="center"/>
    </xf>
    <xf numFmtId="3" fontId="8" fillId="0" borderId="1" xfId="0" applyNumberFormat="1" applyFont="1" applyFill="1" applyBorder="1" applyAlignment="1">
      <alignment horizontal="center"/>
    </xf>
    <xf numFmtId="0" fontId="9" fillId="0" borderId="6" xfId="0" applyFont="1" applyFill="1" applyBorder="1" applyAlignment="1">
      <alignment horizontal="left" vertical="top"/>
    </xf>
    <xf numFmtId="0" fontId="9" fillId="0" borderId="6" xfId="0" applyFont="1" applyFill="1" applyBorder="1" applyAlignment="1">
      <alignment horizontal="left" vertical="top" wrapText="1"/>
    </xf>
    <xf numFmtId="3" fontId="8" fillId="0" borderId="6" xfId="0" applyNumberFormat="1" applyFont="1" applyFill="1" applyBorder="1" applyAlignment="1">
      <alignment horizontal="center"/>
    </xf>
    <xf numFmtId="3" fontId="9" fillId="0" borderId="6" xfId="0" applyNumberFormat="1" applyFont="1" applyFill="1" applyBorder="1" applyAlignment="1">
      <alignment horizontal="right" vertical="center"/>
    </xf>
    <xf numFmtId="165" fontId="9" fillId="0" borderId="6" xfId="0" applyNumberFormat="1" applyFont="1" applyFill="1" applyBorder="1" applyAlignment="1">
      <alignment horizontal="left" vertical="center"/>
    </xf>
    <xf numFmtId="165" fontId="9" fillId="0" borderId="6" xfId="0" applyNumberFormat="1" applyFont="1" applyFill="1" applyBorder="1" applyAlignment="1">
      <alignment horizontal="left" vertical="center" wrapText="1"/>
    </xf>
    <xf numFmtId="0" fontId="10" fillId="0" borderId="0" xfId="0" applyFont="1" applyFill="1"/>
    <xf numFmtId="0" fontId="8" fillId="0" borderId="6" xfId="0" applyFont="1" applyFill="1" applyBorder="1" applyAlignment="1">
      <alignment horizontal="left" vertical="top"/>
    </xf>
    <xf numFmtId="166" fontId="8" fillId="0" borderId="6" xfId="0" applyNumberFormat="1" applyFont="1" applyFill="1" applyBorder="1" applyAlignment="1">
      <alignment horizontal="left" vertical="top"/>
    </xf>
    <xf numFmtId="0" fontId="9" fillId="0" borderId="8"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8" xfId="0" applyFont="1" applyFill="1" applyBorder="1" applyAlignment="1">
      <alignment horizontal="left" vertical="top" wrapText="1"/>
    </xf>
    <xf numFmtId="166" fontId="9" fillId="0" borderId="6" xfId="0" applyNumberFormat="1" applyFont="1" applyFill="1" applyBorder="1" applyAlignment="1">
      <alignment horizontal="left" vertical="top"/>
    </xf>
    <xf numFmtId="0" fontId="9" fillId="0" borderId="0" xfId="0" applyFont="1" applyFill="1" applyBorder="1" applyAlignment="1">
      <alignment horizontal="left" vertical="top" wrapText="1"/>
    </xf>
    <xf numFmtId="0" fontId="8" fillId="0" borderId="6" xfId="0" quotePrefix="1" applyFont="1" applyFill="1" applyBorder="1" applyAlignment="1">
      <alignment horizontal="left" vertical="top" wrapText="1"/>
    </xf>
    <xf numFmtId="9" fontId="8" fillId="0" borderId="6" xfId="0" applyNumberFormat="1" applyFont="1" applyFill="1" applyBorder="1" applyAlignment="1">
      <alignment horizontal="left" vertical="top" wrapText="1"/>
    </xf>
    <xf numFmtId="41" fontId="9" fillId="0" borderId="6" xfId="1" applyNumberFormat="1" applyFont="1" applyFill="1" applyBorder="1" applyAlignment="1">
      <alignment horizontal="center" vertical="top"/>
    </xf>
    <xf numFmtId="0" fontId="8" fillId="0" borderId="8" xfId="0" quotePrefix="1" applyFont="1" applyFill="1" applyBorder="1" applyAlignment="1">
      <alignment horizontal="left" vertical="top" wrapText="1"/>
    </xf>
    <xf numFmtId="41" fontId="8" fillId="0" borderId="6" xfId="1" applyNumberFormat="1" applyFont="1" applyFill="1" applyBorder="1" applyAlignment="1">
      <alignment horizontal="center"/>
    </xf>
    <xf numFmtId="41" fontId="9" fillId="0" borderId="6" xfId="1" applyNumberFormat="1" applyFont="1" applyFill="1" applyBorder="1" applyAlignment="1">
      <alignment horizontal="right" vertical="center"/>
    </xf>
    <xf numFmtId="0" fontId="8" fillId="0" borderId="0" xfId="0" applyFont="1" applyFill="1" applyBorder="1" applyAlignment="1">
      <alignment horizontal="left" vertical="top" wrapText="1"/>
    </xf>
    <xf numFmtId="41" fontId="8" fillId="0" borderId="8" xfId="1" applyFont="1" applyFill="1" applyBorder="1" applyAlignment="1">
      <alignment horizontal="left" vertical="top" wrapText="1"/>
    </xf>
    <xf numFmtId="9" fontId="8" fillId="0" borderId="8" xfId="0" applyNumberFormat="1" applyFont="1" applyFill="1" applyBorder="1" applyAlignment="1">
      <alignment horizontal="left" vertical="top" wrapText="1"/>
    </xf>
    <xf numFmtId="41" fontId="11" fillId="0" borderId="6" xfId="1" applyNumberFormat="1" applyFont="1" applyFill="1" applyBorder="1" applyAlignment="1">
      <alignment vertical="top"/>
    </xf>
    <xf numFmtId="41" fontId="8" fillId="0" borderId="6" xfId="1" applyNumberFormat="1" applyFont="1" applyFill="1" applyBorder="1" applyAlignment="1">
      <alignment horizontal="right" vertical="top"/>
    </xf>
    <xf numFmtId="165" fontId="8" fillId="0" borderId="6" xfId="0" applyNumberFormat="1" applyFont="1" applyFill="1" applyBorder="1" applyAlignment="1">
      <alignment horizontal="left" vertical="top"/>
    </xf>
    <xf numFmtId="165" fontId="8" fillId="0" borderId="6" xfId="0" applyNumberFormat="1" applyFont="1" applyFill="1" applyBorder="1" applyAlignment="1">
      <alignment horizontal="left" vertical="top" wrapText="1"/>
    </xf>
    <xf numFmtId="41" fontId="8" fillId="0" borderId="6" xfId="1" applyNumberFormat="1" applyFont="1" applyFill="1" applyBorder="1" applyAlignment="1">
      <alignment vertical="top"/>
    </xf>
    <xf numFmtId="41" fontId="8" fillId="0" borderId="6" xfId="1" applyNumberFormat="1" applyFont="1" applyFill="1" applyBorder="1"/>
    <xf numFmtId="41" fontId="8" fillId="0" borderId="6" xfId="1" applyNumberFormat="1" applyFont="1" applyFill="1" applyBorder="1" applyAlignment="1">
      <alignment horizontal="right" vertical="center"/>
    </xf>
    <xf numFmtId="165" fontId="8" fillId="0" borderId="6" xfId="0" applyNumberFormat="1" applyFont="1" applyFill="1" applyBorder="1" applyAlignment="1">
      <alignment horizontal="left" vertical="center"/>
    </xf>
    <xf numFmtId="165" fontId="8" fillId="0" borderId="6" xfId="0" applyNumberFormat="1" applyFont="1" applyFill="1" applyBorder="1" applyAlignment="1">
      <alignment horizontal="left" vertical="center" wrapText="1"/>
    </xf>
    <xf numFmtId="0" fontId="12" fillId="0" borderId="0" xfId="0" applyFont="1" applyFill="1"/>
    <xf numFmtId="3" fontId="8" fillId="0" borderId="6" xfId="0" applyNumberFormat="1" applyFont="1" applyFill="1" applyBorder="1" applyAlignment="1">
      <alignment horizontal="left" vertical="top" wrapText="1"/>
    </xf>
    <xf numFmtId="41" fontId="8" fillId="0" borderId="6" xfId="1" applyNumberFormat="1" applyFont="1" applyFill="1" applyBorder="1" applyAlignment="1">
      <alignment vertical="center"/>
    </xf>
    <xf numFmtId="41" fontId="9" fillId="0" borderId="6" xfId="1" applyNumberFormat="1" applyFont="1" applyFill="1" applyBorder="1" applyAlignment="1">
      <alignment vertical="top"/>
    </xf>
    <xf numFmtId="41" fontId="9" fillId="0" borderId="6" xfId="1" applyNumberFormat="1" applyFont="1" applyFill="1" applyBorder="1"/>
    <xf numFmtId="0" fontId="13" fillId="0" borderId="0" xfId="0" applyFont="1" applyFill="1"/>
    <xf numFmtId="41" fontId="14" fillId="0" borderId="6" xfId="1" applyNumberFormat="1" applyFont="1" applyFill="1" applyBorder="1" applyAlignment="1">
      <alignment vertical="top"/>
    </xf>
    <xf numFmtId="166" fontId="8" fillId="0" borderId="6" xfId="0" quotePrefix="1" applyNumberFormat="1" applyFont="1" applyFill="1" applyBorder="1" applyAlignment="1">
      <alignment horizontal="left" vertical="top"/>
    </xf>
    <xf numFmtId="0" fontId="16" fillId="0" borderId="0" xfId="0" applyFont="1" applyFill="1"/>
    <xf numFmtId="41" fontId="14" fillId="0" borderId="6" xfId="1" applyNumberFormat="1" applyFont="1" applyFill="1" applyBorder="1" applyAlignment="1">
      <alignment vertical="center"/>
    </xf>
    <xf numFmtId="41" fontId="9" fillId="0" borderId="6" xfId="1" applyNumberFormat="1" applyFont="1" applyFill="1" applyBorder="1" applyAlignment="1">
      <alignment horizontal="center" vertical="center"/>
    </xf>
    <xf numFmtId="0" fontId="9" fillId="0" borderId="6" xfId="0" quotePrefix="1" applyFont="1" applyFill="1" applyBorder="1" applyAlignment="1">
      <alignment horizontal="left" vertical="top"/>
    </xf>
    <xf numFmtId="0" fontId="8" fillId="0" borderId="6" xfId="0" quotePrefix="1" applyFont="1" applyFill="1" applyBorder="1" applyAlignment="1">
      <alignment horizontal="left" vertical="top"/>
    </xf>
    <xf numFmtId="41" fontId="8" fillId="0" borderId="6" xfId="1" applyNumberFormat="1" applyFont="1" applyFill="1" applyBorder="1" applyAlignment="1">
      <alignment horizontal="center" vertical="center"/>
    </xf>
    <xf numFmtId="0" fontId="17" fillId="0" borderId="0" xfId="0" applyFont="1" applyFill="1"/>
    <xf numFmtId="0" fontId="18" fillId="0" borderId="0" xfId="0" applyFont="1" applyFill="1"/>
    <xf numFmtId="41" fontId="14" fillId="0" borderId="6" xfId="1" applyNumberFormat="1" applyFont="1" applyFill="1" applyBorder="1" applyAlignment="1">
      <alignment horizontal="right" vertical="top"/>
    </xf>
    <xf numFmtId="165" fontId="9" fillId="0" borderId="6" xfId="0" applyNumberFormat="1" applyFont="1" applyFill="1" applyBorder="1" applyAlignment="1">
      <alignment horizontal="left" vertical="top" wrapText="1"/>
    </xf>
    <xf numFmtId="0" fontId="0" fillId="0" borderId="0" xfId="0" applyFont="1" applyFill="1"/>
    <xf numFmtId="0" fontId="15" fillId="0" borderId="6" xfId="0" applyFont="1" applyFill="1" applyBorder="1" applyAlignment="1">
      <alignment horizontal="left" vertical="top"/>
    </xf>
    <xf numFmtId="0" fontId="15" fillId="0" borderId="6" xfId="0" applyFont="1" applyFill="1" applyBorder="1" applyAlignment="1">
      <alignment horizontal="left" vertical="top" wrapText="1"/>
    </xf>
    <xf numFmtId="41" fontId="15" fillId="0" borderId="6" xfId="1" applyNumberFormat="1" applyFont="1" applyFill="1" applyBorder="1" applyAlignment="1">
      <alignment horizontal="right" vertical="top"/>
    </xf>
    <xf numFmtId="165" fontId="15" fillId="0" borderId="6" xfId="0" applyNumberFormat="1" applyFont="1" applyFill="1" applyBorder="1" applyAlignment="1">
      <alignment horizontal="left" vertical="top" wrapText="1"/>
    </xf>
    <xf numFmtId="0" fontId="6" fillId="0" borderId="0" xfId="0" applyFont="1" applyFill="1"/>
    <xf numFmtId="41" fontId="9" fillId="0" borderId="6" xfId="1" applyNumberFormat="1" applyFont="1" applyFill="1" applyBorder="1" applyAlignment="1">
      <alignment horizontal="right" vertical="top"/>
    </xf>
    <xf numFmtId="165" fontId="9" fillId="0" borderId="6" xfId="0" applyNumberFormat="1" applyFont="1" applyFill="1" applyBorder="1" applyAlignment="1">
      <alignment horizontal="left" vertical="top"/>
    </xf>
    <xf numFmtId="41" fontId="11" fillId="0" borderId="6" xfId="1" applyNumberFormat="1" applyFont="1" applyFill="1" applyBorder="1" applyAlignment="1">
      <alignment horizontal="right" vertical="top"/>
    </xf>
    <xf numFmtId="41" fontId="14" fillId="0" borderId="6" xfId="1" applyNumberFormat="1" applyFont="1" applyFill="1" applyBorder="1" applyAlignment="1">
      <alignment horizontal="right" vertical="top" wrapText="1"/>
    </xf>
    <xf numFmtId="41" fontId="8" fillId="0" borderId="6" xfId="1" applyNumberFormat="1" applyFont="1" applyFill="1" applyBorder="1" applyAlignment="1">
      <alignment horizontal="right" vertical="top" wrapText="1"/>
    </xf>
    <xf numFmtId="0" fontId="7" fillId="0" borderId="0" xfId="0" applyFont="1" applyFill="1"/>
    <xf numFmtId="0" fontId="9" fillId="0" borderId="6" xfId="0" quotePrefix="1" applyFont="1" applyFill="1" applyBorder="1" applyAlignment="1">
      <alignment horizontal="left" vertical="top" wrapText="1"/>
    </xf>
    <xf numFmtId="9" fontId="8" fillId="0" borderId="6" xfId="2" applyFont="1" applyFill="1" applyBorder="1" applyAlignment="1">
      <alignment horizontal="left" vertical="top" wrapText="1"/>
    </xf>
    <xf numFmtId="0" fontId="11" fillId="0" borderId="6" xfId="0" applyFont="1" applyFill="1" applyBorder="1" applyAlignment="1">
      <alignment horizontal="left" vertical="top" wrapText="1"/>
    </xf>
    <xf numFmtId="0" fontId="8" fillId="0" borderId="7" xfId="0" applyFont="1" applyFill="1" applyBorder="1" applyAlignment="1">
      <alignment horizontal="left" vertical="top"/>
    </xf>
    <xf numFmtId="0" fontId="8" fillId="0" borderId="7" xfId="0" applyFont="1" applyFill="1" applyBorder="1" applyAlignment="1">
      <alignment horizontal="left" vertical="top" wrapText="1"/>
    </xf>
    <xf numFmtId="41" fontId="8" fillId="0" borderId="7" xfId="1" applyNumberFormat="1" applyFont="1" applyFill="1" applyBorder="1" applyAlignment="1">
      <alignment horizontal="right" vertical="top"/>
    </xf>
    <xf numFmtId="165" fontId="8" fillId="0" borderId="7" xfId="0" applyNumberFormat="1" applyFont="1" applyFill="1" applyBorder="1" applyAlignment="1">
      <alignment horizontal="left" vertical="top"/>
    </xf>
    <xf numFmtId="165" fontId="8" fillId="0" borderId="7" xfId="0" applyNumberFormat="1" applyFont="1" applyFill="1" applyBorder="1" applyAlignment="1">
      <alignment horizontal="left" vertical="top" wrapText="1"/>
    </xf>
    <xf numFmtId="41" fontId="9" fillId="0" borderId="1" xfId="0" applyNumberFormat="1" applyFont="1" applyFill="1" applyBorder="1" applyAlignment="1">
      <alignment horizontal="left" vertical="center" wrapText="1"/>
    </xf>
    <xf numFmtId="165" fontId="18" fillId="0" borderId="0" xfId="0" applyNumberFormat="1" applyFont="1" applyFill="1"/>
    <xf numFmtId="0" fontId="9" fillId="0" borderId="3" xfId="0" applyFont="1" applyFill="1" applyBorder="1" applyAlignment="1">
      <alignment vertical="center"/>
    </xf>
    <xf numFmtId="0" fontId="9" fillId="0" borderId="4" xfId="0" applyFont="1" applyFill="1" applyBorder="1" applyAlignment="1">
      <alignment vertical="center"/>
    </xf>
    <xf numFmtId="0" fontId="15" fillId="0" borderId="8" xfId="0" applyFont="1" applyFill="1" applyBorder="1" applyAlignment="1">
      <alignment horizontal="left" vertical="top" wrapText="1"/>
    </xf>
    <xf numFmtId="0" fontId="8" fillId="0" borderId="9" xfId="0" applyFont="1" applyFill="1" applyBorder="1" applyAlignment="1">
      <alignment horizontal="left" vertical="top" wrapText="1"/>
    </xf>
    <xf numFmtId="0" fontId="9" fillId="0" borderId="2" xfId="0" applyFont="1" applyFill="1" applyBorder="1" applyAlignment="1">
      <alignment horizontal="left" vertical="top" wrapText="1"/>
    </xf>
    <xf numFmtId="3" fontId="8" fillId="0" borderId="2" xfId="0" applyNumberFormat="1" applyFont="1" applyFill="1" applyBorder="1" applyAlignment="1">
      <alignment horizontal="center"/>
    </xf>
    <xf numFmtId="3" fontId="9" fillId="0" borderId="2" xfId="0" applyNumberFormat="1" applyFont="1" applyFill="1" applyBorder="1" applyAlignment="1">
      <alignment horizontal="right" vertical="center"/>
    </xf>
    <xf numFmtId="165" fontId="9" fillId="0" borderId="2" xfId="0" applyNumberFormat="1" applyFont="1" applyFill="1" applyBorder="1" applyAlignment="1">
      <alignment horizontal="left" vertical="center"/>
    </xf>
    <xf numFmtId="165" fontId="9" fillId="0" borderId="2" xfId="0" applyNumberFormat="1" applyFont="1" applyFill="1" applyBorder="1" applyAlignment="1">
      <alignment horizontal="left" vertical="center" wrapText="1"/>
    </xf>
    <xf numFmtId="41" fontId="8" fillId="0" borderId="6" xfId="1" applyFont="1" applyFill="1" applyBorder="1" applyAlignment="1">
      <alignment horizontal="left" vertical="top" wrapText="1"/>
    </xf>
    <xf numFmtId="0" fontId="9" fillId="0" borderId="1" xfId="0" applyFont="1" applyFill="1" applyBorder="1" applyAlignment="1">
      <alignment vertical="center"/>
    </xf>
    <xf numFmtId="0" fontId="10" fillId="3" borderId="0" xfId="0" applyFont="1" applyFill="1"/>
    <xf numFmtId="0" fontId="19" fillId="0" borderId="0" xfId="0" applyFont="1" applyFill="1"/>
    <xf numFmtId="0" fontId="20" fillId="0" borderId="0" xfId="0" applyFont="1" applyFill="1"/>
    <xf numFmtId="0" fontId="20" fillId="0" borderId="0" xfId="0" applyFont="1" applyFill="1" applyAlignment="1">
      <alignment horizontal="left"/>
    </xf>
    <xf numFmtId="0" fontId="20" fillId="0" borderId="0" xfId="0" applyFont="1" applyFill="1" applyAlignment="1">
      <alignment horizontal="center"/>
    </xf>
    <xf numFmtId="0" fontId="20" fillId="0" borderId="0" xfId="0" applyFont="1" applyFill="1" applyAlignment="1">
      <alignment vertical="top"/>
    </xf>
    <xf numFmtId="0" fontId="20" fillId="0" borderId="0" xfId="0" applyFont="1" applyFill="1" applyAlignment="1">
      <alignment horizontal="left" vertical="top" wrapText="1"/>
    </xf>
    <xf numFmtId="3" fontId="20" fillId="0" borderId="0" xfId="0" applyNumberFormat="1" applyFont="1" applyFill="1"/>
    <xf numFmtId="3" fontId="20" fillId="0" borderId="0" xfId="0" applyNumberFormat="1" applyFont="1" applyFill="1" applyAlignment="1">
      <alignment horizontal="right"/>
    </xf>
    <xf numFmtId="165" fontId="20" fillId="0" borderId="0" xfId="0" applyNumberFormat="1" applyFont="1" applyFill="1" applyAlignment="1">
      <alignment horizontal="left"/>
    </xf>
    <xf numFmtId="165" fontId="20" fillId="0" borderId="0" xfId="0" applyNumberFormat="1" applyFont="1" applyFill="1" applyAlignment="1">
      <alignment horizontal="left" wrapText="1"/>
    </xf>
    <xf numFmtId="165" fontId="20" fillId="0" borderId="1"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165" fontId="20" fillId="0" borderId="1" xfId="0" quotePrefix="1" applyNumberFormat="1" applyFont="1" applyFill="1" applyBorder="1" applyAlignment="1">
      <alignment horizontal="center" vertical="center" wrapText="1"/>
    </xf>
    <xf numFmtId="49" fontId="20" fillId="0" borderId="1" xfId="0" applyNumberFormat="1" applyFont="1" applyFill="1" applyBorder="1" applyAlignment="1">
      <alignment horizontal="center" wrapText="1"/>
    </xf>
    <xf numFmtId="49" fontId="20" fillId="0" borderId="1" xfId="0" applyNumberFormat="1" applyFont="1" applyFill="1" applyBorder="1" applyAlignment="1">
      <alignment horizontal="center"/>
    </xf>
    <xf numFmtId="3" fontId="20" fillId="0" borderId="1" xfId="0" applyNumberFormat="1" applyFont="1" applyFill="1" applyBorder="1" applyAlignment="1">
      <alignment horizontal="center"/>
    </xf>
    <xf numFmtId="0" fontId="21" fillId="0" borderId="6" xfId="0" applyFont="1" applyFill="1" applyBorder="1" applyAlignment="1">
      <alignment horizontal="left" vertical="top" wrapText="1"/>
    </xf>
    <xf numFmtId="0" fontId="21" fillId="0" borderId="6" xfId="0" applyFont="1" applyFill="1" applyBorder="1" applyAlignment="1">
      <alignment horizontal="left" vertical="top"/>
    </xf>
    <xf numFmtId="0" fontId="21" fillId="0" borderId="10" xfId="0" applyFont="1" applyFill="1" applyBorder="1" applyAlignment="1">
      <alignment vertical="top" wrapText="1"/>
    </xf>
    <xf numFmtId="0" fontId="21" fillId="0" borderId="14" xfId="0" applyFont="1" applyFill="1" applyBorder="1" applyAlignment="1">
      <alignment vertical="top" wrapText="1"/>
    </xf>
    <xf numFmtId="0" fontId="21" fillId="0" borderId="2" xfId="0" applyFont="1" applyFill="1" applyBorder="1" applyAlignment="1">
      <alignment horizontal="left" vertical="top" wrapText="1"/>
    </xf>
    <xf numFmtId="3" fontId="20" fillId="0" borderId="2" xfId="0" applyNumberFormat="1" applyFont="1" applyFill="1" applyBorder="1" applyAlignment="1">
      <alignment horizontal="center"/>
    </xf>
    <xf numFmtId="3" fontId="21" fillId="0" borderId="2" xfId="0" applyNumberFormat="1" applyFont="1" applyFill="1" applyBorder="1" applyAlignment="1">
      <alignment horizontal="right" vertical="center"/>
    </xf>
    <xf numFmtId="165" fontId="21" fillId="0" borderId="2" xfId="0" applyNumberFormat="1" applyFont="1" applyFill="1" applyBorder="1" applyAlignment="1">
      <alignment horizontal="left" vertical="center"/>
    </xf>
    <xf numFmtId="165" fontId="21" fillId="0" borderId="2" xfId="0" applyNumberFormat="1" applyFont="1" applyFill="1" applyBorder="1" applyAlignment="1">
      <alignment horizontal="left" vertical="center" wrapText="1"/>
    </xf>
    <xf numFmtId="166" fontId="20" fillId="0" borderId="6" xfId="0" applyNumberFormat="1" applyFont="1" applyFill="1" applyBorder="1" applyAlignment="1">
      <alignment horizontal="left" vertical="top"/>
    </xf>
    <xf numFmtId="0" fontId="20" fillId="0" borderId="8" xfId="0" applyFont="1" applyFill="1" applyBorder="1" applyAlignment="1">
      <alignment horizontal="left" vertical="top" wrapText="1"/>
    </xf>
    <xf numFmtId="3" fontId="20" fillId="0" borderId="6" xfId="0" applyNumberFormat="1" applyFont="1" applyFill="1" applyBorder="1" applyAlignment="1">
      <alignment horizontal="center"/>
    </xf>
    <xf numFmtId="3" fontId="21" fillId="0" borderId="6" xfId="0" applyNumberFormat="1" applyFont="1" applyFill="1" applyBorder="1" applyAlignment="1">
      <alignment horizontal="right" vertical="center"/>
    </xf>
    <xf numFmtId="165" fontId="21" fillId="0" borderId="6" xfId="0" applyNumberFormat="1" applyFont="1" applyFill="1" applyBorder="1" applyAlignment="1">
      <alignment horizontal="left" vertical="center"/>
    </xf>
    <xf numFmtId="165" fontId="21" fillId="0" borderId="6" xfId="0" applyNumberFormat="1" applyFont="1" applyFill="1" applyBorder="1" applyAlignment="1">
      <alignment horizontal="left" vertical="center" wrapText="1"/>
    </xf>
    <xf numFmtId="166" fontId="21" fillId="0" borderId="6" xfId="0" applyNumberFormat="1" applyFont="1" applyFill="1" applyBorder="1" applyAlignment="1">
      <alignment horizontal="left" vertical="top"/>
    </xf>
    <xf numFmtId="0" fontId="20" fillId="0" borderId="6" xfId="0" applyFont="1" applyFill="1" applyBorder="1" applyAlignment="1">
      <alignment horizontal="left" vertical="top"/>
    </xf>
    <xf numFmtId="9" fontId="21" fillId="0" borderId="6" xfId="0" applyNumberFormat="1" applyFont="1" applyFill="1" applyBorder="1" applyAlignment="1">
      <alignment horizontal="left" vertical="top" wrapText="1"/>
    </xf>
    <xf numFmtId="41" fontId="21" fillId="0" borderId="6" xfId="1" applyNumberFormat="1" applyFont="1" applyFill="1" applyBorder="1" applyAlignment="1">
      <alignment horizontal="center" vertical="top"/>
    </xf>
    <xf numFmtId="0" fontId="20" fillId="0" borderId="2" xfId="0" applyFont="1" applyFill="1" applyBorder="1" applyAlignment="1">
      <alignment horizontal="left" vertical="top" wrapText="1"/>
    </xf>
    <xf numFmtId="166" fontId="20" fillId="0" borderId="2" xfId="0" applyNumberFormat="1" applyFont="1" applyFill="1" applyBorder="1" applyAlignment="1">
      <alignment horizontal="left" vertical="top"/>
    </xf>
    <xf numFmtId="0" fontId="20" fillId="0" borderId="10" xfId="0" applyFont="1" applyFill="1" applyBorder="1" applyAlignment="1">
      <alignment horizontal="left" vertical="top" wrapText="1"/>
    </xf>
    <xf numFmtId="0" fontId="20" fillId="0" borderId="8" xfId="0" quotePrefix="1" applyFont="1" applyFill="1" applyBorder="1" applyAlignment="1">
      <alignment horizontal="left" vertical="top" wrapText="1"/>
    </xf>
    <xf numFmtId="41" fontId="20" fillId="0" borderId="6" xfId="1" applyNumberFormat="1" applyFont="1" applyFill="1" applyBorder="1" applyAlignment="1">
      <alignment horizontal="center"/>
    </xf>
    <xf numFmtId="41" fontId="21" fillId="0" borderId="6" xfId="1" applyNumberFormat="1" applyFont="1" applyFill="1" applyBorder="1" applyAlignment="1">
      <alignment horizontal="right" vertical="center"/>
    </xf>
    <xf numFmtId="41" fontId="20" fillId="0" borderId="8" xfId="1" applyFont="1" applyFill="1" applyBorder="1" applyAlignment="1">
      <alignment horizontal="left" vertical="top" wrapText="1"/>
    </xf>
    <xf numFmtId="41" fontId="20" fillId="0" borderId="6" xfId="1" applyFont="1" applyFill="1" applyBorder="1" applyAlignment="1">
      <alignment horizontal="left" vertical="top" wrapText="1"/>
    </xf>
    <xf numFmtId="41" fontId="22" fillId="0" borderId="6" xfId="1" applyNumberFormat="1" applyFont="1" applyFill="1" applyBorder="1" applyAlignment="1">
      <alignment vertical="top"/>
    </xf>
    <xf numFmtId="41" fontId="20" fillId="0" borderId="6" xfId="1" applyNumberFormat="1" applyFont="1" applyFill="1" applyBorder="1" applyAlignment="1">
      <alignment horizontal="right" vertical="top"/>
    </xf>
    <xf numFmtId="165" fontId="20" fillId="0" borderId="6" xfId="0" applyNumberFormat="1" applyFont="1" applyFill="1" applyBorder="1" applyAlignment="1">
      <alignment horizontal="left" vertical="top"/>
    </xf>
    <xf numFmtId="165" fontId="20" fillId="0" borderId="6" xfId="0" applyNumberFormat="1" applyFont="1" applyFill="1" applyBorder="1" applyAlignment="1">
      <alignment horizontal="left" vertical="top" wrapText="1"/>
    </xf>
    <xf numFmtId="0" fontId="20" fillId="0" borderId="8" xfId="0" applyFont="1" applyFill="1" applyBorder="1" applyAlignment="1">
      <alignment vertical="top" wrapText="1"/>
    </xf>
    <xf numFmtId="0" fontId="20" fillId="0" borderId="0" xfId="0" applyFont="1" applyFill="1" applyBorder="1" applyAlignment="1">
      <alignment vertical="top" wrapText="1"/>
    </xf>
    <xf numFmtId="0" fontId="20" fillId="0" borderId="0" xfId="0" quotePrefix="1" applyFont="1" applyFill="1" applyBorder="1" applyAlignment="1">
      <alignment vertical="top" wrapText="1"/>
    </xf>
    <xf numFmtId="41" fontId="20" fillId="0" borderId="6" xfId="1" applyNumberFormat="1" applyFont="1" applyFill="1" applyBorder="1" applyAlignment="1">
      <alignment vertical="top"/>
    </xf>
    <xf numFmtId="41" fontId="20" fillId="0" borderId="6" xfId="1" applyNumberFormat="1" applyFont="1" applyFill="1" applyBorder="1"/>
    <xf numFmtId="41" fontId="20" fillId="0" borderId="6" xfId="1" applyNumberFormat="1" applyFont="1" applyFill="1" applyBorder="1" applyAlignment="1">
      <alignment horizontal="right" vertical="center"/>
    </xf>
    <xf numFmtId="165" fontId="20" fillId="0" borderId="6" xfId="0" applyNumberFormat="1" applyFont="1" applyFill="1" applyBorder="1" applyAlignment="1">
      <alignment horizontal="left" vertical="center"/>
    </xf>
    <xf numFmtId="165" fontId="20" fillId="0" borderId="6" xfId="0" applyNumberFormat="1" applyFont="1" applyFill="1" applyBorder="1" applyAlignment="1">
      <alignment horizontal="left" vertical="center" wrapText="1"/>
    </xf>
    <xf numFmtId="9" fontId="20" fillId="0" borderId="8" xfId="0" applyNumberFormat="1" applyFont="1" applyFill="1" applyBorder="1" applyAlignment="1">
      <alignment horizontal="left" vertical="top" wrapText="1"/>
    </xf>
    <xf numFmtId="0" fontId="20" fillId="0" borderId="2" xfId="0" applyFont="1" applyFill="1" applyBorder="1" applyAlignment="1">
      <alignment horizontal="left" vertical="top"/>
    </xf>
    <xf numFmtId="0" fontId="20" fillId="0" borderId="14" xfId="0" applyFont="1" applyFill="1" applyBorder="1" applyAlignment="1">
      <alignment horizontal="left" vertical="top" wrapText="1"/>
    </xf>
    <xf numFmtId="0" fontId="20" fillId="0" borderId="10" xfId="0" applyFont="1" applyFill="1" applyBorder="1" applyAlignment="1">
      <alignment vertical="top" wrapText="1"/>
    </xf>
    <xf numFmtId="0" fontId="20" fillId="0" borderId="14" xfId="0" applyFont="1" applyFill="1" applyBorder="1" applyAlignment="1">
      <alignment vertical="top" wrapText="1"/>
    </xf>
    <xf numFmtId="0" fontId="20" fillId="0" borderId="11" xfId="0" applyFont="1" applyFill="1" applyBorder="1" applyAlignment="1">
      <alignment horizontal="left" vertical="top" wrapText="1"/>
    </xf>
    <xf numFmtId="41" fontId="20" fillId="0" borderId="2" xfId="1" applyNumberFormat="1" applyFont="1" applyFill="1" applyBorder="1"/>
    <xf numFmtId="41" fontId="20" fillId="0" borderId="2" xfId="1" applyNumberFormat="1" applyFont="1" applyFill="1" applyBorder="1" applyAlignment="1">
      <alignment horizontal="right" vertical="center"/>
    </xf>
    <xf numFmtId="165" fontId="20" fillId="0" borderId="2" xfId="0" applyNumberFormat="1" applyFont="1" applyFill="1" applyBorder="1" applyAlignment="1">
      <alignment horizontal="left" vertical="center"/>
    </xf>
    <xf numFmtId="165" fontId="20" fillId="0" borderId="2" xfId="0" applyNumberFormat="1" applyFont="1" applyFill="1" applyBorder="1" applyAlignment="1">
      <alignment horizontal="left" vertical="center" wrapText="1"/>
    </xf>
    <xf numFmtId="0" fontId="20" fillId="0" borderId="0" xfId="0" applyFont="1" applyFill="1" applyBorder="1" applyAlignment="1">
      <alignment horizontal="left" vertical="top"/>
    </xf>
    <xf numFmtId="3" fontId="20" fillId="0" borderId="6" xfId="0" applyNumberFormat="1" applyFont="1" applyFill="1" applyBorder="1" applyAlignment="1">
      <alignment horizontal="left" vertical="top" wrapText="1"/>
    </xf>
    <xf numFmtId="3" fontId="20" fillId="0" borderId="8" xfId="0" applyNumberFormat="1" applyFont="1" applyFill="1" applyBorder="1" applyAlignment="1">
      <alignment horizontal="left" vertical="top" wrapText="1"/>
    </xf>
    <xf numFmtId="0" fontId="20" fillId="0" borderId="7" xfId="0" applyFont="1" applyFill="1" applyBorder="1" applyAlignment="1">
      <alignment horizontal="left" vertical="top" wrapText="1"/>
    </xf>
    <xf numFmtId="0" fontId="20" fillId="0" borderId="7" xfId="0" applyFont="1" applyFill="1" applyBorder="1" applyAlignment="1">
      <alignment horizontal="left" vertical="top"/>
    </xf>
    <xf numFmtId="166" fontId="20" fillId="0" borderId="7" xfId="0" applyNumberFormat="1" applyFont="1" applyFill="1" applyBorder="1" applyAlignment="1">
      <alignment horizontal="left" vertical="top"/>
    </xf>
    <xf numFmtId="0" fontId="20" fillId="0" borderId="15"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15" xfId="0" applyFont="1" applyFill="1" applyBorder="1" applyAlignment="1">
      <alignment horizontal="left" vertical="top"/>
    </xf>
    <xf numFmtId="0" fontId="20" fillId="0" borderId="13" xfId="0" applyFont="1" applyFill="1" applyBorder="1" applyAlignment="1">
      <alignment horizontal="left" vertical="top" wrapText="1"/>
    </xf>
    <xf numFmtId="41" fontId="20" fillId="0" borderId="7" xfId="1" applyNumberFormat="1" applyFont="1" applyFill="1" applyBorder="1" applyAlignment="1">
      <alignment vertical="top"/>
    </xf>
    <xf numFmtId="41" fontId="20" fillId="0" borderId="7" xfId="1" applyNumberFormat="1" applyFont="1" applyFill="1" applyBorder="1" applyAlignment="1">
      <alignment horizontal="right" vertical="top"/>
    </xf>
    <xf numFmtId="165" fontId="20" fillId="0" borderId="7" xfId="0" applyNumberFormat="1" applyFont="1" applyFill="1" applyBorder="1" applyAlignment="1">
      <alignment horizontal="left" vertical="top"/>
    </xf>
    <xf numFmtId="165" fontId="20" fillId="0" borderId="7" xfId="0" applyNumberFormat="1" applyFont="1" applyFill="1" applyBorder="1" applyAlignment="1">
      <alignment horizontal="left" vertical="top" wrapText="1"/>
    </xf>
    <xf numFmtId="41" fontId="20" fillId="0" borderId="6" xfId="1" applyNumberFormat="1" applyFont="1" applyFill="1" applyBorder="1" applyAlignment="1">
      <alignment vertical="center"/>
    </xf>
    <xf numFmtId="9" fontId="21" fillId="0" borderId="6" xfId="0" quotePrefix="1" applyNumberFormat="1" applyFont="1" applyFill="1" applyBorder="1" applyAlignment="1">
      <alignment horizontal="left" vertical="top" wrapText="1"/>
    </xf>
    <xf numFmtId="41" fontId="21" fillId="0" borderId="6" xfId="1" applyNumberFormat="1" applyFont="1" applyFill="1" applyBorder="1" applyAlignment="1">
      <alignment vertical="top"/>
    </xf>
    <xf numFmtId="41" fontId="21" fillId="0" borderId="6" xfId="1" applyNumberFormat="1" applyFont="1" applyFill="1" applyBorder="1"/>
    <xf numFmtId="0" fontId="20" fillId="0" borderId="0" xfId="0" applyFont="1" applyFill="1" applyBorder="1" applyAlignment="1">
      <alignment vertical="top"/>
    </xf>
    <xf numFmtId="0" fontId="20" fillId="0" borderId="6" xfId="0" applyNumberFormat="1" applyFont="1" applyFill="1" applyBorder="1" applyAlignment="1">
      <alignment horizontal="left" vertical="top" wrapText="1"/>
    </xf>
    <xf numFmtId="9" fontId="20" fillId="0" borderId="6" xfId="0" applyNumberFormat="1" applyFont="1" applyFill="1" applyBorder="1" applyAlignment="1">
      <alignment horizontal="left" vertical="top" wrapText="1"/>
    </xf>
    <xf numFmtId="0" fontId="23" fillId="0" borderId="12" xfId="0" applyFont="1" applyFill="1" applyBorder="1"/>
    <xf numFmtId="0" fontId="23" fillId="0" borderId="13" xfId="0" applyFont="1" applyFill="1" applyBorder="1"/>
    <xf numFmtId="41" fontId="20" fillId="0" borderId="7" xfId="1" applyNumberFormat="1" applyFont="1" applyFill="1" applyBorder="1"/>
    <xf numFmtId="41" fontId="20" fillId="0" borderId="7" xfId="1" applyNumberFormat="1" applyFont="1" applyFill="1" applyBorder="1" applyAlignment="1">
      <alignment horizontal="right" vertical="center"/>
    </xf>
    <xf numFmtId="165" fontId="20" fillId="0" borderId="7" xfId="0" applyNumberFormat="1" applyFont="1" applyFill="1" applyBorder="1" applyAlignment="1">
      <alignment horizontal="left" vertical="center"/>
    </xf>
    <xf numFmtId="165" fontId="20" fillId="0" borderId="7" xfId="0" applyNumberFormat="1" applyFont="1" applyFill="1" applyBorder="1" applyAlignment="1">
      <alignment horizontal="left" vertical="center" wrapText="1"/>
    </xf>
    <xf numFmtId="165" fontId="21" fillId="0" borderId="6" xfId="0" applyNumberFormat="1" applyFont="1" applyFill="1" applyBorder="1" applyAlignment="1">
      <alignment horizontal="left" vertical="top"/>
    </xf>
    <xf numFmtId="165" fontId="21" fillId="0" borderId="6" xfId="0" applyNumberFormat="1" applyFont="1" applyFill="1" applyBorder="1" applyAlignment="1">
      <alignment horizontal="left" vertical="top" wrapText="1"/>
    </xf>
    <xf numFmtId="0" fontId="20" fillId="0" borderId="12" xfId="0" applyFont="1" applyFill="1" applyBorder="1" applyAlignment="1">
      <alignment vertical="top" wrapText="1"/>
    </xf>
    <xf numFmtId="0" fontId="20" fillId="0" borderId="6" xfId="0" applyFont="1" applyFill="1" applyBorder="1" applyAlignment="1">
      <alignment vertical="top" wrapText="1"/>
    </xf>
    <xf numFmtId="0" fontId="20" fillId="2" borderId="12" xfId="0" applyFont="1" applyFill="1" applyBorder="1" applyAlignment="1">
      <alignment horizontal="left" vertical="top" wrapText="1"/>
    </xf>
    <xf numFmtId="0" fontId="20" fillId="2" borderId="12" xfId="0" quotePrefix="1" applyFont="1" applyFill="1" applyBorder="1" applyAlignment="1">
      <alignment horizontal="left" vertical="top" wrapText="1"/>
    </xf>
    <xf numFmtId="0" fontId="20" fillId="2" borderId="8" xfId="0" applyFont="1" applyFill="1" applyBorder="1" applyAlignment="1">
      <alignment vertical="top" wrapText="1"/>
    </xf>
    <xf numFmtId="166" fontId="20" fillId="0" borderId="6" xfId="0" quotePrefix="1" applyNumberFormat="1" applyFont="1" applyFill="1" applyBorder="1" applyAlignment="1">
      <alignment horizontal="left" vertical="top"/>
    </xf>
    <xf numFmtId="0" fontId="20" fillId="3" borderId="6" xfId="0" applyFont="1" applyFill="1" applyBorder="1" applyAlignment="1">
      <alignment horizontal="left" vertical="top" wrapText="1"/>
    </xf>
    <xf numFmtId="0" fontId="20" fillId="3" borderId="6" xfId="0" applyFont="1" applyFill="1" applyBorder="1" applyAlignment="1">
      <alignment horizontal="left" vertical="top"/>
    </xf>
    <xf numFmtId="166" fontId="20" fillId="3" borderId="6" xfId="0" applyNumberFormat="1" applyFont="1" applyFill="1" applyBorder="1" applyAlignment="1">
      <alignment horizontal="left" vertical="top"/>
    </xf>
    <xf numFmtId="0" fontId="20" fillId="3" borderId="0" xfId="0" applyFont="1" applyFill="1" applyBorder="1" applyAlignment="1">
      <alignment horizontal="left" vertical="top" wrapText="1"/>
    </xf>
    <xf numFmtId="41" fontId="20" fillId="3" borderId="6" xfId="1" applyNumberFormat="1" applyFont="1" applyFill="1" applyBorder="1" applyAlignment="1">
      <alignment vertical="top"/>
    </xf>
    <xf numFmtId="41" fontId="20" fillId="3" borderId="6" xfId="1" applyNumberFormat="1" applyFont="1" applyFill="1" applyBorder="1" applyAlignment="1">
      <alignment horizontal="right" vertical="top"/>
    </xf>
    <xf numFmtId="165" fontId="20" fillId="3" borderId="6" xfId="0" applyNumberFormat="1" applyFont="1" applyFill="1" applyBorder="1" applyAlignment="1">
      <alignment horizontal="left" vertical="top"/>
    </xf>
    <xf numFmtId="165" fontId="20" fillId="3" borderId="6" xfId="0" applyNumberFormat="1" applyFont="1" applyFill="1" applyBorder="1" applyAlignment="1">
      <alignment horizontal="left" vertical="top" wrapText="1"/>
    </xf>
    <xf numFmtId="41" fontId="20" fillId="0" borderId="6" xfId="1" applyNumberFormat="1" applyFont="1" applyFill="1" applyBorder="1" applyAlignment="1">
      <alignment horizontal="right" vertical="top" wrapText="1"/>
    </xf>
    <xf numFmtId="41" fontId="24" fillId="0" borderId="7" xfId="1" applyNumberFormat="1" applyFont="1" applyFill="1" applyBorder="1" applyAlignment="1">
      <alignment vertical="top"/>
    </xf>
    <xf numFmtId="41" fontId="24" fillId="0" borderId="6" xfId="1" applyNumberFormat="1" applyFont="1" applyFill="1" applyBorder="1" applyAlignment="1">
      <alignment vertical="top"/>
    </xf>
    <xf numFmtId="9" fontId="21" fillId="3" borderId="6" xfId="0" applyNumberFormat="1" applyFont="1" applyFill="1" applyBorder="1" applyAlignment="1">
      <alignment horizontal="center" vertical="top" wrapText="1"/>
    </xf>
    <xf numFmtId="41" fontId="25" fillId="0" borderId="6" xfId="1" applyNumberFormat="1" applyFont="1" applyFill="1" applyBorder="1" applyAlignment="1">
      <alignment vertical="top"/>
    </xf>
    <xf numFmtId="41" fontId="21" fillId="0" borderId="6" xfId="1" applyNumberFormat="1" applyFont="1" applyFill="1" applyBorder="1" applyAlignment="1">
      <alignment horizontal="right" vertical="top"/>
    </xf>
    <xf numFmtId="0" fontId="20" fillId="0" borderId="12" xfId="0" quotePrefix="1" applyFont="1" applyFill="1" applyBorder="1" applyAlignment="1">
      <alignment vertical="top" wrapText="1"/>
    </xf>
    <xf numFmtId="0" fontId="20" fillId="0" borderId="0" xfId="0" quotePrefix="1" applyFont="1" applyFill="1" applyBorder="1" applyAlignment="1">
      <alignment horizontal="left" vertical="top"/>
    </xf>
    <xf numFmtId="0" fontId="20" fillId="0" borderId="13" xfId="0" quotePrefix="1" applyFont="1" applyFill="1" applyBorder="1" applyAlignment="1">
      <alignment vertical="top" wrapText="1"/>
    </xf>
    <xf numFmtId="0" fontId="20" fillId="0" borderId="6" xfId="0" quotePrefix="1" applyFont="1" applyFill="1" applyBorder="1" applyAlignment="1">
      <alignment horizontal="left" vertical="top"/>
    </xf>
    <xf numFmtId="9" fontId="20" fillId="0" borderId="6" xfId="0" applyNumberFormat="1" applyFont="1" applyFill="1" applyBorder="1" applyAlignment="1">
      <alignment vertical="top" wrapText="1"/>
    </xf>
    <xf numFmtId="0" fontId="23" fillId="0" borderId="15" xfId="0" applyFont="1" applyFill="1" applyBorder="1"/>
    <xf numFmtId="9" fontId="20" fillId="3" borderId="6" xfId="0" applyNumberFormat="1" applyFont="1" applyFill="1" applyBorder="1" applyAlignment="1">
      <alignment horizontal="center" vertical="top" wrapText="1"/>
    </xf>
    <xf numFmtId="0" fontId="21" fillId="0" borderId="7" xfId="0" applyFont="1" applyFill="1" applyBorder="1" applyAlignment="1">
      <alignment horizontal="left" vertical="top" wrapText="1"/>
    </xf>
    <xf numFmtId="0" fontId="20" fillId="0" borderId="7" xfId="0" quotePrefix="1" applyFont="1" applyFill="1" applyBorder="1" applyAlignment="1">
      <alignment horizontal="left" vertical="top" wrapText="1"/>
    </xf>
    <xf numFmtId="0" fontId="26" fillId="3" borderId="6" xfId="0" applyFont="1" applyFill="1" applyBorder="1" applyAlignment="1">
      <alignment horizontal="left" vertical="top" wrapText="1"/>
    </xf>
    <xf numFmtId="0" fontId="21" fillId="0" borderId="6" xfId="0" quotePrefix="1" applyFont="1" applyFill="1" applyBorder="1" applyAlignment="1">
      <alignment horizontal="left" vertical="top"/>
    </xf>
    <xf numFmtId="0" fontId="21" fillId="3" borderId="6" xfId="0" applyFont="1" applyFill="1" applyBorder="1" applyAlignment="1">
      <alignment horizontal="left" vertical="top" wrapText="1"/>
    </xf>
    <xf numFmtId="9" fontId="26" fillId="3" borderId="6" xfId="0" applyNumberFormat="1" applyFont="1" applyFill="1" applyBorder="1" applyAlignment="1">
      <alignment horizontal="left" vertical="top"/>
    </xf>
    <xf numFmtId="0" fontId="20" fillId="0" borderId="7" xfId="0" quotePrefix="1" applyFont="1" applyFill="1" applyBorder="1" applyAlignment="1">
      <alignment horizontal="left" vertical="top"/>
    </xf>
    <xf numFmtId="41" fontId="24" fillId="0" borderId="6" xfId="1" applyNumberFormat="1" applyFont="1" applyFill="1" applyBorder="1" applyAlignment="1">
      <alignment vertical="center"/>
    </xf>
    <xf numFmtId="41" fontId="24" fillId="0" borderId="7" xfId="1" applyNumberFormat="1" applyFont="1" applyFill="1" applyBorder="1" applyAlignment="1">
      <alignment vertical="center"/>
    </xf>
    <xf numFmtId="41" fontId="21" fillId="0" borderId="6" xfId="1" applyNumberFormat="1" applyFont="1" applyFill="1" applyBorder="1" applyAlignment="1">
      <alignment horizontal="center" vertical="center"/>
    </xf>
    <xf numFmtId="41" fontId="21" fillId="0" borderId="7" xfId="1" applyNumberFormat="1" applyFont="1" applyFill="1" applyBorder="1" applyAlignment="1">
      <alignment horizontal="center" vertical="center"/>
    </xf>
    <xf numFmtId="0" fontId="26" fillId="3" borderId="6" xfId="0" applyFont="1" applyFill="1" applyBorder="1" applyAlignment="1">
      <alignment horizontal="left" vertical="top"/>
    </xf>
    <xf numFmtId="167" fontId="27" fillId="3" borderId="6" xfId="0" applyNumberFormat="1" applyFont="1" applyFill="1" applyBorder="1" applyAlignment="1">
      <alignment horizontal="left" vertical="top"/>
    </xf>
    <xf numFmtId="41" fontId="22" fillId="0" borderId="6" xfId="1" applyNumberFormat="1" applyFont="1" applyFill="1" applyBorder="1" applyAlignment="1">
      <alignment horizontal="right" vertical="top"/>
    </xf>
    <xf numFmtId="41" fontId="24" fillId="0" borderId="6" xfId="1" applyNumberFormat="1" applyFont="1" applyFill="1" applyBorder="1" applyAlignment="1">
      <alignment horizontal="right" vertical="top" wrapText="1"/>
    </xf>
    <xf numFmtId="0" fontId="28" fillId="0" borderId="6" xfId="0" applyFont="1" applyFill="1" applyBorder="1" applyAlignment="1">
      <alignment horizontal="left" vertical="top"/>
    </xf>
    <xf numFmtId="0" fontId="28" fillId="0" borderId="6" xfId="0" applyFont="1" applyFill="1" applyBorder="1" applyAlignment="1">
      <alignment horizontal="left" vertical="top" wrapText="1"/>
    </xf>
    <xf numFmtId="0" fontId="29" fillId="0" borderId="6" xfId="0" applyFont="1" applyFill="1" applyBorder="1" applyAlignment="1">
      <alignment horizontal="left" vertical="top"/>
    </xf>
    <xf numFmtId="0" fontId="29" fillId="0" borderId="6" xfId="0" applyFont="1" applyFill="1" applyBorder="1" applyAlignment="1">
      <alignment horizontal="left" vertical="top" wrapText="1"/>
    </xf>
    <xf numFmtId="0" fontId="26" fillId="3" borderId="6" xfId="0" applyFont="1" applyFill="1" applyBorder="1" applyAlignment="1">
      <alignment horizontal="justify" vertical="top" wrapText="1"/>
    </xf>
    <xf numFmtId="9" fontId="20" fillId="0" borderId="6" xfId="2" applyFont="1" applyFill="1" applyBorder="1" applyAlignment="1">
      <alignment horizontal="left" vertical="top" wrapText="1"/>
    </xf>
    <xf numFmtId="0" fontId="20" fillId="0" borderId="6" xfId="0" quotePrefix="1" applyFont="1" applyFill="1" applyBorder="1" applyAlignment="1">
      <alignment horizontal="left" vertical="top" wrapText="1"/>
    </xf>
    <xf numFmtId="0" fontId="21" fillId="0" borderId="6" xfId="0" quotePrefix="1" applyFont="1" applyFill="1" applyBorder="1" applyAlignment="1">
      <alignment horizontal="left" vertical="top" wrapText="1"/>
    </xf>
    <xf numFmtId="9" fontId="20" fillId="0" borderId="6" xfId="2" applyFont="1" applyFill="1" applyBorder="1" applyAlignment="1">
      <alignment vertical="top" wrapText="1"/>
    </xf>
    <xf numFmtId="9" fontId="20" fillId="0" borderId="12" xfId="2" applyFont="1" applyFill="1" applyBorder="1" applyAlignment="1">
      <alignment horizontal="left" vertical="top" wrapText="1"/>
    </xf>
    <xf numFmtId="41" fontId="29" fillId="0" borderId="6" xfId="1" applyNumberFormat="1" applyFont="1" applyFill="1" applyBorder="1" applyAlignment="1">
      <alignment horizontal="right" vertical="top"/>
    </xf>
    <xf numFmtId="0" fontId="20" fillId="0" borderId="9" xfId="0" applyFont="1" applyFill="1" applyBorder="1" applyAlignment="1">
      <alignment vertical="top" wrapText="1"/>
    </xf>
    <xf numFmtId="0" fontId="20" fillId="0" borderId="15" xfId="0" applyFont="1" applyFill="1" applyBorder="1" applyAlignment="1">
      <alignment vertical="top" wrapText="1"/>
    </xf>
    <xf numFmtId="0" fontId="21" fillId="0" borderId="4" xfId="0" applyFont="1" applyFill="1" applyBorder="1" applyAlignment="1">
      <alignment vertical="center"/>
    </xf>
    <xf numFmtId="0" fontId="21" fillId="0" borderId="3" xfId="0" applyFont="1" applyFill="1" applyBorder="1" applyAlignment="1">
      <alignment vertical="center"/>
    </xf>
    <xf numFmtId="0" fontId="21" fillId="0" borderId="3" xfId="0" applyFont="1" applyFill="1" applyBorder="1" applyAlignment="1">
      <alignment vertical="top"/>
    </xf>
    <xf numFmtId="0" fontId="21" fillId="0" borderId="4" xfId="0" applyFont="1" applyFill="1" applyBorder="1" applyAlignment="1">
      <alignment vertical="top"/>
    </xf>
    <xf numFmtId="0" fontId="21" fillId="0" borderId="4" xfId="0" applyFont="1" applyFill="1" applyBorder="1" applyAlignment="1">
      <alignment horizontal="left" vertical="top" wrapText="1"/>
    </xf>
    <xf numFmtId="0" fontId="21" fillId="0" borderId="1" xfId="0" applyFont="1" applyFill="1" applyBorder="1" applyAlignment="1">
      <alignment vertical="center"/>
    </xf>
    <xf numFmtId="41" fontId="21" fillId="0" borderId="1" xfId="1" applyNumberFormat="1" applyFont="1" applyFill="1" applyBorder="1" applyAlignment="1">
      <alignment horizontal="right" vertical="center"/>
    </xf>
    <xf numFmtId="41" fontId="21" fillId="0" borderId="1" xfId="0" applyNumberFormat="1" applyFont="1" applyFill="1" applyBorder="1" applyAlignment="1">
      <alignment horizontal="left" vertical="center"/>
    </xf>
    <xf numFmtId="41" fontId="21" fillId="0" borderId="1" xfId="0" applyNumberFormat="1" applyFont="1" applyFill="1" applyBorder="1" applyAlignment="1">
      <alignment horizontal="left" vertical="center" wrapText="1"/>
    </xf>
    <xf numFmtId="0" fontId="22" fillId="0" borderId="0" xfId="0" applyFont="1" applyFill="1"/>
    <xf numFmtId="0" fontId="27" fillId="0" borderId="0" xfId="0" applyFont="1" applyFill="1"/>
    <xf numFmtId="0" fontId="27" fillId="0" borderId="2" xfId="0" applyFont="1" applyFill="1" applyBorder="1"/>
    <xf numFmtId="0" fontId="27" fillId="0" borderId="6" xfId="0" applyFont="1" applyFill="1" applyBorder="1"/>
    <xf numFmtId="0" fontId="27" fillId="0" borderId="0" xfId="0" applyFont="1" applyFill="1" applyAlignment="1">
      <alignment vertical="top" wrapText="1"/>
    </xf>
    <xf numFmtId="0" fontId="27" fillId="0" borderId="14" xfId="0" applyFont="1" applyFill="1" applyBorder="1"/>
    <xf numFmtId="0" fontId="27" fillId="0" borderId="0" xfId="0" applyFont="1" applyFill="1" applyBorder="1"/>
    <xf numFmtId="0" fontId="23" fillId="0" borderId="8" xfId="0" applyFont="1" applyFill="1" applyBorder="1" applyAlignment="1">
      <alignment vertical="top"/>
    </xf>
    <xf numFmtId="0" fontId="23" fillId="0" borderId="0" xfId="0" applyFont="1" applyFill="1" applyBorder="1" applyAlignment="1">
      <alignment vertical="top"/>
    </xf>
    <xf numFmtId="0" fontId="23" fillId="0" borderId="0" xfId="0" quotePrefix="1" applyFont="1" applyFill="1" applyBorder="1" applyAlignment="1">
      <alignment vertical="top"/>
    </xf>
    <xf numFmtId="0" fontId="21" fillId="0" borderId="0" xfId="0" applyFont="1" applyFill="1"/>
    <xf numFmtId="0" fontId="21" fillId="0" borderId="0" xfId="0" applyFont="1" applyFill="1" applyBorder="1"/>
    <xf numFmtId="0" fontId="21" fillId="0" borderId="6" xfId="0" applyFont="1" applyFill="1" applyBorder="1"/>
    <xf numFmtId="0" fontId="21" fillId="0" borderId="15" xfId="0" applyFont="1" applyFill="1" applyBorder="1"/>
    <xf numFmtId="0" fontId="21" fillId="0" borderId="7" xfId="0" applyFont="1" applyFill="1" applyBorder="1"/>
    <xf numFmtId="0" fontId="27" fillId="0" borderId="15" xfId="0" applyFont="1" applyFill="1" applyBorder="1"/>
    <xf numFmtId="0" fontId="27" fillId="0" borderId="7" xfId="0" applyFont="1" applyFill="1" applyBorder="1"/>
    <xf numFmtId="0" fontId="27" fillId="0" borderId="6" xfId="0" applyFont="1" applyBorder="1" applyAlignment="1">
      <alignment vertical="top" wrapText="1"/>
    </xf>
    <xf numFmtId="0" fontId="27" fillId="3" borderId="0" xfId="0" applyFont="1" applyFill="1"/>
    <xf numFmtId="0" fontId="27" fillId="3" borderId="6" xfId="0" applyFont="1" applyFill="1" applyBorder="1"/>
    <xf numFmtId="0" fontId="28" fillId="0" borderId="0" xfId="0" applyFont="1" applyFill="1"/>
    <xf numFmtId="0" fontId="28" fillId="0" borderId="6" xfId="0" applyFont="1" applyFill="1" applyBorder="1"/>
    <xf numFmtId="0" fontId="28" fillId="0" borderId="15" xfId="0" applyFont="1" applyFill="1" applyBorder="1"/>
    <xf numFmtId="0" fontId="28" fillId="0" borderId="7" xfId="0" applyFont="1" applyFill="1" applyBorder="1"/>
    <xf numFmtId="0" fontId="30" fillId="0" borderId="0" xfId="0" applyFont="1" applyFill="1"/>
    <xf numFmtId="0" fontId="30" fillId="0" borderId="6" xfId="0" applyFont="1" applyFill="1" applyBorder="1"/>
    <xf numFmtId="0" fontId="30" fillId="0" borderId="15" xfId="0" applyFont="1" applyFill="1" applyBorder="1"/>
    <xf numFmtId="0" fontId="30" fillId="0" borderId="7" xfId="0" applyFont="1" applyFill="1" applyBorder="1"/>
    <xf numFmtId="0" fontId="22" fillId="0" borderId="6" xfId="0" applyFont="1" applyFill="1" applyBorder="1"/>
    <xf numFmtId="0" fontId="22" fillId="0" borderId="15" xfId="0" applyFont="1" applyFill="1" applyBorder="1"/>
    <xf numFmtId="0" fontId="22" fillId="0" borderId="7" xfId="0" applyFont="1" applyFill="1" applyBorder="1"/>
    <xf numFmtId="0" fontId="29" fillId="0" borderId="0" xfId="0" applyFont="1" applyFill="1"/>
    <xf numFmtId="0" fontId="23" fillId="0" borderId="0" xfId="0" applyFont="1" applyFill="1" applyBorder="1"/>
    <xf numFmtId="0" fontId="20" fillId="0" borderId="6" xfId="0" applyFont="1" applyFill="1" applyBorder="1"/>
    <xf numFmtId="0" fontId="20" fillId="0" borderId="15" xfId="0" applyFont="1" applyFill="1" applyBorder="1"/>
    <xf numFmtId="0" fontId="20" fillId="0" borderId="7" xfId="0" applyFont="1" applyFill="1" applyBorder="1"/>
    <xf numFmtId="165" fontId="22" fillId="0" borderId="6" xfId="0" applyNumberFormat="1" applyFont="1" applyFill="1" applyBorder="1"/>
    <xf numFmtId="0" fontId="22" fillId="0" borderId="7" xfId="0" quotePrefix="1" applyFont="1" applyFill="1" applyBorder="1"/>
    <xf numFmtId="0" fontId="27" fillId="0" borderId="0" xfId="0" applyFont="1" applyFill="1" applyAlignment="1">
      <alignment horizontal="left" vertical="top" wrapText="1"/>
    </xf>
    <xf numFmtId="0" fontId="27" fillId="0" borderId="6" xfId="0" applyFont="1" applyFill="1" applyBorder="1" applyAlignment="1">
      <alignment horizontal="left" vertical="top" wrapText="1"/>
    </xf>
    <xf numFmtId="9" fontId="27" fillId="3" borderId="6" xfId="0" applyNumberFormat="1" applyFont="1" applyFill="1" applyBorder="1" applyAlignment="1">
      <alignment horizontal="center" vertical="top" wrapText="1"/>
    </xf>
    <xf numFmtId="168" fontId="27" fillId="3" borderId="6" xfId="3" applyNumberFormat="1" applyFont="1" applyFill="1" applyBorder="1" applyAlignment="1">
      <alignment horizontal="center" vertical="top"/>
    </xf>
    <xf numFmtId="0" fontId="21" fillId="0" borderId="1" xfId="0" applyFont="1" applyFill="1" applyBorder="1"/>
    <xf numFmtId="165" fontId="20" fillId="0" borderId="0" xfId="0" applyNumberFormat="1" applyFont="1" applyFill="1"/>
    <xf numFmtId="0" fontId="8" fillId="0" borderId="3" xfId="0" applyFont="1" applyFill="1" applyBorder="1" applyAlignment="1">
      <alignment horizontal="center" vertical="center"/>
    </xf>
    <xf numFmtId="0" fontId="20" fillId="0" borderId="0" xfId="0" applyFont="1" applyFill="1" applyBorder="1" applyAlignment="1">
      <alignment horizontal="left" vertical="top" wrapText="1"/>
    </xf>
    <xf numFmtId="0" fontId="20" fillId="0" borderId="12" xfId="0" applyFont="1" applyFill="1" applyBorder="1" applyAlignment="1">
      <alignment horizontal="left" vertical="top" wrapText="1"/>
    </xf>
    <xf numFmtId="0" fontId="20" fillId="0" borderId="6"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12" xfId="0" applyFont="1" applyFill="1" applyBorder="1" applyAlignment="1">
      <alignment horizontal="left" vertical="top" wrapText="1"/>
    </xf>
    <xf numFmtId="0" fontId="20" fillId="0" borderId="0" xfId="0" quotePrefix="1" applyFont="1" applyFill="1" applyBorder="1" applyAlignment="1">
      <alignment horizontal="left" vertical="top" wrapText="1"/>
    </xf>
    <xf numFmtId="0" fontId="20" fillId="0" borderId="12" xfId="0" quotePrefix="1" applyFont="1" applyFill="1" applyBorder="1" applyAlignment="1">
      <alignment horizontal="left" vertical="top" wrapText="1"/>
    </xf>
    <xf numFmtId="0" fontId="23" fillId="0" borderId="0" xfId="0" applyFont="1" applyFill="1" applyBorder="1" applyAlignment="1">
      <alignment horizontal="left"/>
    </xf>
    <xf numFmtId="0" fontId="23" fillId="0" borderId="12" xfId="0" applyFont="1" applyFill="1" applyBorder="1" applyAlignment="1">
      <alignment horizontal="left"/>
    </xf>
    <xf numFmtId="0" fontId="21" fillId="0" borderId="8" xfId="0" applyFont="1" applyFill="1" applyBorder="1" applyAlignment="1">
      <alignment vertical="top" wrapText="1"/>
    </xf>
    <xf numFmtId="0" fontId="21" fillId="0" borderId="0" xfId="0" applyFont="1" applyFill="1" applyBorder="1" applyAlignment="1">
      <alignment vertical="top" wrapText="1"/>
    </xf>
    <xf numFmtId="0" fontId="23" fillId="0" borderId="12" xfId="0" applyFont="1" applyFill="1" applyBorder="1" applyAlignment="1">
      <alignment horizontal="left" vertical="top" wrapText="1"/>
    </xf>
    <xf numFmtId="9" fontId="21" fillId="0" borderId="8" xfId="0" applyNumberFormat="1" applyFont="1" applyFill="1" applyBorder="1" applyAlignment="1">
      <alignment horizontal="left" vertical="top" wrapText="1"/>
    </xf>
    <xf numFmtId="43" fontId="20" fillId="0" borderId="6" xfId="0" applyNumberFormat="1" applyFont="1" applyFill="1" applyBorder="1" applyAlignment="1">
      <alignment horizontal="left" vertical="top" wrapText="1"/>
    </xf>
    <xf numFmtId="43" fontId="20" fillId="0" borderId="8" xfId="0" applyNumberFormat="1" applyFont="1" applyFill="1" applyBorder="1" applyAlignment="1">
      <alignment horizontal="left" vertical="top" wrapText="1"/>
    </xf>
    <xf numFmtId="3" fontId="20" fillId="0" borderId="0" xfId="3" applyNumberFormat="1" applyFont="1" applyFill="1" applyAlignment="1">
      <alignment horizontal="right"/>
    </xf>
    <xf numFmtId="3" fontId="20" fillId="0" borderId="1" xfId="3" applyNumberFormat="1" applyFont="1" applyFill="1" applyBorder="1" applyAlignment="1">
      <alignment horizontal="center" vertical="center"/>
    </xf>
    <xf numFmtId="3" fontId="20" fillId="0" borderId="1" xfId="3" applyNumberFormat="1" applyFont="1" applyFill="1" applyBorder="1" applyAlignment="1">
      <alignment horizontal="center"/>
    </xf>
    <xf numFmtId="3" fontId="21" fillId="0" borderId="6" xfId="3" applyNumberFormat="1" applyFont="1" applyFill="1" applyBorder="1" applyAlignment="1">
      <alignment horizontal="right" vertical="top" wrapText="1"/>
    </xf>
    <xf numFmtId="3" fontId="20" fillId="0" borderId="8" xfId="3" applyNumberFormat="1" applyFont="1" applyFill="1" applyBorder="1" applyAlignment="1">
      <alignment horizontal="right" vertical="top" wrapText="1"/>
    </xf>
    <xf numFmtId="3" fontId="21" fillId="0" borderId="8" xfId="3" applyNumberFormat="1" applyFont="1" applyFill="1" applyBorder="1" applyAlignment="1">
      <alignment horizontal="right" vertical="top" wrapText="1"/>
    </xf>
    <xf numFmtId="3" fontId="20" fillId="0" borderId="10" xfId="3" applyNumberFormat="1" applyFont="1" applyFill="1" applyBorder="1" applyAlignment="1">
      <alignment horizontal="right" vertical="top" wrapText="1"/>
    </xf>
    <xf numFmtId="3" fontId="20" fillId="0" borderId="9" xfId="3" applyNumberFormat="1" applyFont="1" applyFill="1" applyBorder="1" applyAlignment="1">
      <alignment horizontal="right" vertical="top" wrapText="1"/>
    </xf>
    <xf numFmtId="3" fontId="20" fillId="0" borderId="6" xfId="3" applyNumberFormat="1" applyFont="1" applyFill="1" applyBorder="1" applyAlignment="1">
      <alignment horizontal="right" vertical="top" wrapText="1"/>
    </xf>
    <xf numFmtId="3" fontId="20" fillId="0" borderId="7" xfId="3" applyNumberFormat="1" applyFont="1" applyFill="1" applyBorder="1" applyAlignment="1">
      <alignment horizontal="right" vertical="top" wrapText="1"/>
    </xf>
    <xf numFmtId="3" fontId="20" fillId="3" borderId="8" xfId="3" applyNumberFormat="1" applyFont="1" applyFill="1" applyBorder="1" applyAlignment="1">
      <alignment horizontal="right" vertical="top" wrapText="1"/>
    </xf>
    <xf numFmtId="3" fontId="21" fillId="0" borderId="7" xfId="3" applyNumberFormat="1" applyFont="1" applyFill="1" applyBorder="1" applyAlignment="1">
      <alignment horizontal="right" vertical="top" wrapText="1"/>
    </xf>
    <xf numFmtId="3" fontId="22" fillId="0" borderId="7" xfId="3" quotePrefix="1" applyNumberFormat="1" applyFont="1" applyFill="1" applyBorder="1" applyAlignment="1">
      <alignment horizontal="right"/>
    </xf>
    <xf numFmtId="3" fontId="21" fillId="0" borderId="1" xfId="3" applyNumberFormat="1" applyFont="1" applyFill="1" applyBorder="1" applyAlignment="1">
      <alignment horizontal="right" vertical="center"/>
    </xf>
    <xf numFmtId="3" fontId="20" fillId="0" borderId="0" xfId="0" applyNumberFormat="1" applyFont="1" applyFill="1" applyAlignment="1">
      <alignment horizontal="center"/>
    </xf>
    <xf numFmtId="3" fontId="20" fillId="0" borderId="1" xfId="0" applyNumberFormat="1" applyFont="1" applyFill="1" applyBorder="1" applyAlignment="1">
      <alignment horizontal="center" vertical="center"/>
    </xf>
    <xf numFmtId="3" fontId="21" fillId="0" borderId="6" xfId="0" applyNumberFormat="1" applyFont="1" applyFill="1" applyBorder="1" applyAlignment="1">
      <alignment horizontal="left" vertical="top" wrapText="1"/>
    </xf>
    <xf numFmtId="3" fontId="20" fillId="0" borderId="7" xfId="0" applyNumberFormat="1" applyFont="1" applyFill="1" applyBorder="1" applyAlignment="1">
      <alignment horizontal="left" vertical="top" wrapText="1"/>
    </xf>
    <xf numFmtId="3" fontId="20" fillId="0" borderId="8" xfId="1" applyNumberFormat="1" applyFont="1" applyFill="1" applyBorder="1" applyAlignment="1">
      <alignment horizontal="left" vertical="top" wrapText="1"/>
    </xf>
    <xf numFmtId="3" fontId="20" fillId="0" borderId="10" xfId="0" applyNumberFormat="1" applyFont="1" applyFill="1" applyBorder="1" applyAlignment="1">
      <alignment horizontal="left" vertical="top" wrapText="1"/>
    </xf>
    <xf numFmtId="3" fontId="20" fillId="0" borderId="9" xfId="0" applyNumberFormat="1" applyFont="1" applyFill="1" applyBorder="1" applyAlignment="1">
      <alignment horizontal="left" vertical="top" wrapText="1"/>
    </xf>
    <xf numFmtId="3" fontId="21" fillId="0" borderId="8" xfId="0" applyNumberFormat="1" applyFont="1" applyFill="1" applyBorder="1" applyAlignment="1">
      <alignment horizontal="left" vertical="top" wrapText="1"/>
    </xf>
    <xf numFmtId="3" fontId="20" fillId="3" borderId="8" xfId="0" applyNumberFormat="1" applyFont="1" applyFill="1" applyBorder="1" applyAlignment="1">
      <alignment horizontal="left" vertical="top" wrapText="1"/>
    </xf>
    <xf numFmtId="3" fontId="21" fillId="0" borderId="7" xfId="0" applyNumberFormat="1" applyFont="1" applyFill="1" applyBorder="1" applyAlignment="1">
      <alignment horizontal="left" vertical="top" wrapText="1"/>
    </xf>
    <xf numFmtId="3" fontId="22" fillId="0" borderId="15" xfId="0" quotePrefix="1" applyNumberFormat="1" applyFont="1" applyFill="1" applyBorder="1"/>
    <xf numFmtId="3" fontId="20" fillId="0" borderId="3" xfId="0" applyNumberFormat="1" applyFont="1" applyFill="1" applyBorder="1" applyAlignment="1">
      <alignment horizontal="center" vertical="center"/>
    </xf>
    <xf numFmtId="3" fontId="21" fillId="0" borderId="9" xfId="0" applyNumberFormat="1" applyFont="1" applyFill="1" applyBorder="1" applyAlignment="1">
      <alignment horizontal="left" vertical="top" wrapText="1"/>
    </xf>
    <xf numFmtId="9" fontId="26" fillId="3" borderId="6" xfId="0" applyNumberFormat="1" applyFont="1" applyFill="1" applyBorder="1" applyAlignment="1">
      <alignment horizontal="left" vertical="top" wrapText="1"/>
    </xf>
    <xf numFmtId="3" fontId="22" fillId="0" borderId="7" xfId="0" quotePrefix="1" applyNumberFormat="1" applyFont="1" applyFill="1" applyBorder="1"/>
    <xf numFmtId="9" fontId="27" fillId="3" borderId="6" xfId="0" applyNumberFormat="1" applyFont="1" applyFill="1" applyBorder="1" applyAlignment="1">
      <alignment horizontal="left" vertical="top" wrapText="1"/>
    </xf>
    <xf numFmtId="168" fontId="27" fillId="3" borderId="6" xfId="3" applyNumberFormat="1" applyFont="1" applyFill="1" applyBorder="1" applyAlignment="1">
      <alignment horizontal="left" vertical="top"/>
    </xf>
    <xf numFmtId="0" fontId="9" fillId="0" borderId="12"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2" xfId="0" quotePrefix="1"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1" xfId="0" applyFont="1" applyFill="1" applyBorder="1" applyAlignment="1">
      <alignment horizontal="left" vertical="top" wrapText="1"/>
    </xf>
    <xf numFmtId="0" fontId="15" fillId="0" borderId="0" xfId="0"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9" fillId="0" borderId="0" xfId="0" quotePrefix="1" applyFont="1" applyFill="1" applyBorder="1" applyAlignment="1">
      <alignment horizontal="left" vertical="top" wrapText="1"/>
    </xf>
    <xf numFmtId="0" fontId="8" fillId="0" borderId="6" xfId="0" applyFont="1" applyFill="1" applyBorder="1" applyAlignment="1">
      <alignment horizontal="center" vertical="top" wrapText="1"/>
    </xf>
    <xf numFmtId="9" fontId="15" fillId="0" borderId="6" xfId="0" applyNumberFormat="1" applyFont="1" applyFill="1" applyBorder="1" applyAlignment="1">
      <alignment horizontal="left" vertical="top" wrapText="1"/>
    </xf>
    <xf numFmtId="9" fontId="9" fillId="0" borderId="6" xfId="0" applyNumberFormat="1" applyFont="1" applyFill="1" applyBorder="1" applyAlignment="1">
      <alignment horizontal="left" vertical="top" wrapText="1"/>
    </xf>
    <xf numFmtId="0" fontId="11" fillId="0" borderId="6" xfId="0" quotePrefix="1" applyFont="1" applyFill="1" applyBorder="1"/>
    <xf numFmtId="0" fontId="31" fillId="0" borderId="8" xfId="0" applyFont="1" applyFill="1" applyBorder="1" applyAlignment="1">
      <alignment vertical="top"/>
    </xf>
    <xf numFmtId="0" fontId="31" fillId="0" borderId="0" xfId="0" applyFont="1" applyFill="1" applyBorder="1" applyAlignment="1">
      <alignment vertical="top"/>
    </xf>
    <xf numFmtId="166" fontId="8" fillId="0" borderId="7" xfId="0" applyNumberFormat="1" applyFont="1" applyFill="1" applyBorder="1" applyAlignment="1">
      <alignment horizontal="left" vertical="top"/>
    </xf>
    <xf numFmtId="0" fontId="31" fillId="0" borderId="9" xfId="0" applyFont="1" applyFill="1" applyBorder="1" applyAlignment="1">
      <alignment vertical="top"/>
    </xf>
    <xf numFmtId="0" fontId="31" fillId="0" borderId="15" xfId="0" applyFont="1" applyFill="1" applyBorder="1" applyAlignment="1">
      <alignment vertical="top"/>
    </xf>
    <xf numFmtId="41" fontId="8" fillId="0" borderId="7" xfId="1" applyFont="1" applyFill="1" applyBorder="1" applyAlignment="1">
      <alignment horizontal="left" vertical="top" wrapText="1"/>
    </xf>
    <xf numFmtId="0" fontId="8" fillId="0" borderId="15" xfId="0" applyFont="1" applyFill="1" applyBorder="1" applyAlignment="1">
      <alignment horizontal="left" vertical="top" wrapText="1"/>
    </xf>
    <xf numFmtId="41" fontId="8" fillId="0" borderId="7" xfId="1" applyNumberFormat="1" applyFont="1" applyFill="1" applyBorder="1" applyAlignment="1">
      <alignment vertical="top"/>
    </xf>
    <xf numFmtId="41" fontId="8" fillId="0" borderId="8" xfId="1" applyNumberFormat="1" applyFont="1" applyFill="1" applyBorder="1" applyAlignment="1">
      <alignment horizontal="right" vertical="top" wrapText="1"/>
    </xf>
    <xf numFmtId="9" fontId="8" fillId="0" borderId="6" xfId="1" applyNumberFormat="1" applyFont="1" applyFill="1" applyBorder="1" applyAlignment="1">
      <alignment horizontal="left" vertical="top" wrapText="1"/>
    </xf>
    <xf numFmtId="0" fontId="31" fillId="0" borderId="12" xfId="0" applyFont="1" applyFill="1" applyBorder="1"/>
    <xf numFmtId="0" fontId="31" fillId="0" borderId="13" xfId="0" applyFont="1" applyFill="1" applyBorder="1"/>
    <xf numFmtId="0" fontId="8" fillId="0" borderId="13" xfId="0" applyFont="1" applyFill="1" applyBorder="1" applyAlignment="1">
      <alignment horizontal="left" vertical="top" wrapText="1"/>
    </xf>
    <xf numFmtId="41" fontId="8" fillId="0" borderId="7" xfId="1" applyNumberFormat="1" applyFont="1" applyFill="1" applyBorder="1"/>
    <xf numFmtId="165" fontId="8" fillId="0" borderId="7" xfId="0" applyNumberFormat="1" applyFont="1" applyFill="1" applyBorder="1" applyAlignment="1">
      <alignment horizontal="left" vertical="center" wrapText="1"/>
    </xf>
    <xf numFmtId="41" fontId="8" fillId="0" borderId="7" xfId="1" applyNumberFormat="1" applyFont="1" applyFill="1" applyBorder="1" applyAlignment="1">
      <alignment horizontal="right" vertical="center"/>
    </xf>
    <xf numFmtId="165" fontId="8" fillId="0" borderId="7" xfId="0" applyNumberFormat="1" applyFont="1" applyFill="1" applyBorder="1" applyAlignment="1">
      <alignment horizontal="left" vertical="center"/>
    </xf>
    <xf numFmtId="3" fontId="8" fillId="0" borderId="7" xfId="0" applyNumberFormat="1" applyFont="1" applyFill="1" applyBorder="1" applyAlignment="1">
      <alignment horizontal="left" vertical="top" wrapText="1"/>
    </xf>
    <xf numFmtId="41" fontId="8" fillId="0" borderId="7" xfId="1" applyNumberFormat="1" applyFont="1" applyFill="1" applyBorder="1" applyAlignment="1">
      <alignment vertical="center"/>
    </xf>
    <xf numFmtId="0" fontId="9" fillId="0" borderId="7" xfId="0" applyFont="1" applyFill="1" applyBorder="1" applyAlignment="1">
      <alignment horizontal="left" vertical="top" wrapText="1"/>
    </xf>
    <xf numFmtId="41" fontId="9" fillId="0" borderId="7" xfId="1" applyNumberFormat="1" applyFont="1" applyFill="1" applyBorder="1"/>
    <xf numFmtId="0" fontId="8" fillId="0" borderId="0" xfId="0" applyFont="1" applyFill="1" applyBorder="1" applyAlignment="1">
      <alignment vertical="top" wrapText="1"/>
    </xf>
    <xf numFmtId="0" fontId="8" fillId="0" borderId="15" xfId="0" applyFont="1" applyFill="1" applyBorder="1" applyAlignment="1">
      <alignment horizontal="left" vertical="top"/>
    </xf>
    <xf numFmtId="0" fontId="8" fillId="0" borderId="6" xfId="0" applyFont="1" applyFill="1" applyBorder="1" applyAlignment="1">
      <alignment vertical="top" wrapText="1"/>
    </xf>
    <xf numFmtId="0" fontId="9" fillId="0" borderId="6" xfId="0" applyFont="1" applyFill="1" applyBorder="1" applyAlignment="1">
      <alignment horizontal="center" vertical="top" wrapText="1"/>
    </xf>
    <xf numFmtId="0" fontId="31" fillId="0" borderId="0" xfId="0" applyFont="1" applyFill="1" applyBorder="1" applyAlignment="1">
      <alignment wrapText="1"/>
    </xf>
    <xf numFmtId="0" fontId="31" fillId="0" borderId="12" xfId="0" applyFont="1" applyFill="1" applyBorder="1" applyAlignment="1">
      <alignment wrapText="1"/>
    </xf>
    <xf numFmtId="0" fontId="31" fillId="0" borderId="15" xfId="0" applyFont="1" applyFill="1" applyBorder="1"/>
    <xf numFmtId="0" fontId="31" fillId="0" borderId="6" xfId="0" applyFont="1" applyFill="1" applyBorder="1" applyAlignment="1">
      <alignment wrapText="1"/>
    </xf>
    <xf numFmtId="0" fontId="8" fillId="0" borderId="7" xfId="0" quotePrefix="1" applyFont="1" applyFill="1" applyBorder="1" applyAlignment="1">
      <alignment vertical="top" wrapText="1"/>
    </xf>
    <xf numFmtId="9" fontId="32" fillId="0" borderId="6" xfId="0" applyNumberFormat="1" applyFont="1" applyFill="1" applyBorder="1" applyAlignment="1">
      <alignment horizontal="left" vertical="top" wrapText="1"/>
    </xf>
    <xf numFmtId="41" fontId="9" fillId="0" borderId="7" xfId="1" applyNumberFormat="1" applyFont="1" applyFill="1" applyBorder="1" applyAlignment="1">
      <alignment vertical="top"/>
    </xf>
    <xf numFmtId="41" fontId="14" fillId="0" borderId="7" xfId="1" applyNumberFormat="1" applyFont="1" applyFill="1" applyBorder="1" applyAlignment="1">
      <alignment vertical="center"/>
    </xf>
    <xf numFmtId="0" fontId="9" fillId="0" borderId="8" xfId="0" quotePrefix="1" applyFont="1" applyFill="1" applyBorder="1" applyAlignment="1">
      <alignment horizontal="left" vertical="top" wrapText="1"/>
    </xf>
    <xf numFmtId="165" fontId="9" fillId="0" borderId="7" xfId="0" applyNumberFormat="1" applyFont="1" applyFill="1" applyBorder="1" applyAlignment="1">
      <alignment horizontal="left" vertical="top" wrapText="1"/>
    </xf>
    <xf numFmtId="0" fontId="8" fillId="0" borderId="7" xfId="0" quotePrefix="1" applyFont="1" applyFill="1" applyBorder="1" applyAlignment="1">
      <alignment horizontal="left" vertical="top"/>
    </xf>
    <xf numFmtId="0" fontId="15" fillId="0" borderId="7" xfId="0" applyFont="1" applyFill="1" applyBorder="1" applyAlignment="1">
      <alignment horizontal="left" vertical="top"/>
    </xf>
    <xf numFmtId="0" fontId="15" fillId="0" borderId="7" xfId="0" applyFont="1" applyFill="1" applyBorder="1" applyAlignment="1">
      <alignment horizontal="left" vertical="top" wrapText="1"/>
    </xf>
    <xf numFmtId="41" fontId="15" fillId="0" borderId="7" xfId="1" applyNumberFormat="1" applyFont="1" applyFill="1" applyBorder="1" applyAlignment="1">
      <alignment horizontal="right" vertical="top"/>
    </xf>
    <xf numFmtId="165" fontId="15" fillId="0" borderId="7" xfId="0" applyNumberFormat="1" applyFont="1" applyFill="1" applyBorder="1" applyAlignment="1">
      <alignment horizontal="left" vertical="top" wrapText="1"/>
    </xf>
    <xf numFmtId="41" fontId="11" fillId="0" borderId="7" xfId="1" applyNumberFormat="1" applyFont="1" applyFill="1" applyBorder="1" applyAlignment="1">
      <alignment horizontal="right" vertical="top"/>
    </xf>
    <xf numFmtId="0" fontId="31" fillId="0" borderId="0" xfId="0" applyFont="1" applyFill="1" applyBorder="1" applyAlignment="1"/>
    <xf numFmtId="0" fontId="31" fillId="0" borderId="12" xfId="0" applyFont="1" applyFill="1" applyBorder="1" applyAlignment="1"/>
    <xf numFmtId="0" fontId="31" fillId="0" borderId="6" xfId="0" applyFont="1" applyFill="1" applyBorder="1" applyAlignment="1"/>
    <xf numFmtId="0" fontId="9" fillId="0" borderId="9" xfId="0" applyFont="1" applyFill="1" applyBorder="1" applyAlignment="1">
      <alignment horizontal="left" vertical="top" wrapText="1"/>
    </xf>
    <xf numFmtId="41" fontId="9" fillId="0" borderId="7" xfId="1" applyNumberFormat="1" applyFont="1" applyFill="1" applyBorder="1" applyAlignment="1">
      <alignment horizontal="right" vertical="top"/>
    </xf>
    <xf numFmtId="165" fontId="9" fillId="0" borderId="7" xfId="0" applyNumberFormat="1" applyFont="1" applyFill="1" applyBorder="1" applyAlignment="1">
      <alignment horizontal="left" vertical="top"/>
    </xf>
    <xf numFmtId="9" fontId="8" fillId="0" borderId="7" xfId="0" applyNumberFormat="1" applyFont="1" applyFill="1" applyBorder="1" applyAlignment="1">
      <alignment horizontal="left" vertical="top" wrapText="1"/>
    </xf>
    <xf numFmtId="0" fontId="8" fillId="0" borderId="7" xfId="0" quotePrefix="1" applyFont="1" applyFill="1" applyBorder="1" applyAlignment="1">
      <alignment horizontal="left" vertical="top" wrapText="1"/>
    </xf>
    <xf numFmtId="0" fontId="9" fillId="0" borderId="7" xfId="0" applyFont="1" applyFill="1" applyBorder="1" applyAlignment="1">
      <alignment horizontal="left" vertical="top"/>
    </xf>
    <xf numFmtId="0" fontId="9" fillId="0" borderId="7" xfId="0" quotePrefix="1" applyFont="1" applyFill="1" applyBorder="1" applyAlignment="1">
      <alignment horizontal="left" vertical="top" wrapText="1"/>
    </xf>
    <xf numFmtId="9" fontId="8" fillId="0" borderId="7" xfId="2" applyFont="1" applyFill="1" applyBorder="1" applyAlignment="1">
      <alignment horizontal="left" vertical="top" wrapText="1"/>
    </xf>
    <xf numFmtId="0" fontId="33" fillId="0" borderId="6" xfId="0" applyFont="1" applyBorder="1" applyAlignment="1">
      <alignment vertical="top" wrapText="1"/>
    </xf>
    <xf numFmtId="0" fontId="33" fillId="0" borderId="0" xfId="0" applyFont="1" applyFill="1" applyAlignment="1">
      <alignment vertical="top" wrapText="1"/>
    </xf>
    <xf numFmtId="41" fontId="8" fillId="0" borderId="6" xfId="0" applyNumberFormat="1" applyFont="1" applyFill="1" applyBorder="1" applyAlignment="1">
      <alignment horizontal="left" vertical="top" wrapText="1"/>
    </xf>
    <xf numFmtId="43" fontId="8" fillId="0" borderId="6" xfId="3" applyFont="1" applyFill="1" applyBorder="1" applyAlignment="1">
      <alignment horizontal="left" vertical="top" wrapText="1"/>
    </xf>
    <xf numFmtId="41" fontId="9" fillId="0" borderId="8" xfId="0" applyNumberFormat="1" applyFont="1" applyFill="1" applyBorder="1" applyAlignment="1">
      <alignment horizontal="left" vertical="top" wrapText="1"/>
    </xf>
    <xf numFmtId="41" fontId="8" fillId="0" borderId="8" xfId="0" applyNumberFormat="1" applyFont="1" applyFill="1" applyBorder="1" applyAlignment="1">
      <alignment horizontal="left" vertical="top" wrapText="1"/>
    </xf>
    <xf numFmtId="41" fontId="9" fillId="0" borderId="1" xfId="0" applyNumberFormat="1" applyFont="1" applyFill="1" applyBorder="1" applyAlignment="1">
      <alignment vertical="center"/>
    </xf>
    <xf numFmtId="0" fontId="11" fillId="0" borderId="0" xfId="0" applyFont="1" applyFill="1"/>
    <xf numFmtId="0" fontId="33" fillId="0" borderId="0" xfId="0" applyFont="1" applyFill="1"/>
    <xf numFmtId="0" fontId="33" fillId="0" borderId="2" xfId="0" applyFont="1" applyFill="1" applyBorder="1"/>
    <xf numFmtId="0" fontId="33" fillId="0" borderId="6" xfId="0" applyFont="1" applyFill="1" applyBorder="1"/>
    <xf numFmtId="0" fontId="9" fillId="0" borderId="15" xfId="0" applyFont="1" applyFill="1" applyBorder="1"/>
    <xf numFmtId="0" fontId="9" fillId="0" borderId="7" xfId="0" applyFont="1" applyFill="1" applyBorder="1"/>
    <xf numFmtId="0" fontId="33" fillId="0" borderId="15" xfId="0" applyFont="1" applyFill="1" applyBorder="1"/>
    <xf numFmtId="0" fontId="9" fillId="0" borderId="0" xfId="0" applyFont="1" applyFill="1"/>
    <xf numFmtId="0" fontId="32" fillId="0" borderId="0" xfId="0" applyFont="1" applyFill="1"/>
    <xf numFmtId="0" fontId="32" fillId="0" borderId="15" xfId="0" applyFont="1" applyFill="1" applyBorder="1"/>
    <xf numFmtId="0" fontId="34" fillId="0" borderId="0" xfId="0" applyFont="1" applyFill="1"/>
    <xf numFmtId="0" fontId="11" fillId="0" borderId="6" xfId="0" applyFont="1" applyFill="1" applyBorder="1"/>
    <xf numFmtId="0" fontId="11" fillId="0" borderId="15" xfId="0" applyFont="1" applyFill="1" applyBorder="1"/>
    <xf numFmtId="0" fontId="11" fillId="0" borderId="7" xfId="0" applyFont="1" applyFill="1" applyBorder="1"/>
    <xf numFmtId="0" fontId="15" fillId="0" borderId="0" xfId="0" applyFont="1" applyFill="1"/>
    <xf numFmtId="0" fontId="8" fillId="0" borderId="15" xfId="0" applyFont="1" applyFill="1" applyBorder="1"/>
    <xf numFmtId="41" fontId="9" fillId="0" borderId="1" xfId="1" applyNumberFormat="1" applyFont="1" applyFill="1" applyBorder="1" applyAlignment="1">
      <alignment horizontal="right" vertical="center"/>
    </xf>
    <xf numFmtId="41" fontId="9" fillId="0" borderId="1" xfId="0" applyNumberFormat="1" applyFont="1" applyFill="1" applyBorder="1" applyAlignment="1">
      <alignment horizontal="left" vertical="center"/>
    </xf>
    <xf numFmtId="165" fontId="8" fillId="0" borderId="0" xfId="0" applyNumberFormat="1" applyFont="1" applyFill="1"/>
    <xf numFmtId="0" fontId="35" fillId="0" borderId="6" xfId="0" applyFont="1" applyFill="1" applyBorder="1" applyAlignment="1">
      <alignment horizontal="left" vertical="top" wrapText="1"/>
    </xf>
    <xf numFmtId="0" fontId="31" fillId="0" borderId="6" xfId="0" applyFont="1" applyFill="1" applyBorder="1" applyAlignment="1">
      <alignment vertical="top" wrapText="1"/>
    </xf>
    <xf numFmtId="0" fontId="31" fillId="0" borderId="2" xfId="0" applyFont="1" applyFill="1" applyBorder="1" applyAlignment="1">
      <alignment vertical="top" wrapText="1"/>
    </xf>
    <xf numFmtId="0" fontId="31" fillId="0" borderId="13" xfId="0" quotePrefix="1" applyFont="1" applyFill="1" applyBorder="1" applyAlignment="1">
      <alignment vertical="top" wrapText="1"/>
    </xf>
    <xf numFmtId="0" fontId="35" fillId="0" borderId="6" xfId="0" applyFont="1" applyFill="1" applyBorder="1" applyAlignment="1">
      <alignment vertical="top" wrapText="1"/>
    </xf>
    <xf numFmtId="0" fontId="31" fillId="0" borderId="7" xfId="0" applyFont="1" applyFill="1" applyBorder="1" applyAlignment="1">
      <alignment vertical="top" wrapText="1"/>
    </xf>
    <xf numFmtId="0" fontId="35" fillId="0" borderId="7" xfId="0" applyFont="1" applyFill="1" applyBorder="1" applyAlignment="1">
      <alignment vertical="top" wrapText="1"/>
    </xf>
    <xf numFmtId="9" fontId="31" fillId="0" borderId="13" xfId="2" applyFont="1" applyFill="1" applyBorder="1" applyAlignment="1">
      <alignment horizontal="left" vertical="center" wrapText="1"/>
    </xf>
    <xf numFmtId="9" fontId="31" fillId="0" borderId="12" xfId="2" applyFont="1" applyFill="1" applyBorder="1" applyAlignment="1">
      <alignment horizontal="left" vertical="center" wrapText="1"/>
    </xf>
    <xf numFmtId="0" fontId="31" fillId="0" borderId="12" xfId="0" applyFont="1" applyFill="1" applyBorder="1" applyAlignment="1">
      <alignment horizontal="left" vertical="center" wrapText="1"/>
    </xf>
    <xf numFmtId="0" fontId="35" fillId="0" borderId="6" xfId="0" applyFont="1" applyFill="1" applyBorder="1" applyAlignment="1">
      <alignment horizontal="center" vertical="top" wrapText="1"/>
    </xf>
    <xf numFmtId="0" fontId="35" fillId="0" borderId="7" xfId="0" applyFont="1" applyFill="1" applyBorder="1" applyAlignment="1">
      <alignment horizontal="center" vertical="top" wrapText="1"/>
    </xf>
    <xf numFmtId="0" fontId="31" fillId="0" borderId="13" xfId="0" applyFont="1" applyFill="1" applyBorder="1" applyAlignment="1">
      <alignment wrapText="1"/>
    </xf>
    <xf numFmtId="0" fontId="9" fillId="0" borderId="5" xfId="0" applyFont="1" applyFill="1" applyBorder="1"/>
    <xf numFmtId="165" fontId="8" fillId="0" borderId="3" xfId="0" applyNumberFormat="1" applyFont="1" applyFill="1" applyBorder="1" applyAlignment="1">
      <alignment horizontal="center"/>
    </xf>
    <xf numFmtId="165" fontId="8" fillId="0" borderId="5" xfId="0" applyNumberFormat="1" applyFont="1" applyFill="1" applyBorder="1" applyAlignment="1">
      <alignment horizontal="center"/>
    </xf>
    <xf numFmtId="49" fontId="8" fillId="0" borderId="3" xfId="0" applyNumberFormat="1" applyFont="1" applyFill="1" applyBorder="1" applyAlignment="1">
      <alignment horizontal="center" wrapText="1"/>
    </xf>
    <xf numFmtId="49" fontId="8" fillId="0" borderId="4" xfId="0" applyNumberFormat="1" applyFont="1" applyFill="1" applyBorder="1" applyAlignment="1">
      <alignment horizontal="center" wrapText="1"/>
    </xf>
    <xf numFmtId="49" fontId="8" fillId="0" borderId="5" xfId="0" applyNumberFormat="1" applyFont="1" applyFill="1" applyBorder="1" applyAlignment="1">
      <alignment horizontal="center" wrapText="1"/>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wrapText="1"/>
    </xf>
    <xf numFmtId="0" fontId="8" fillId="0" borderId="3" xfId="0" applyFont="1" applyFill="1" applyBorder="1" applyAlignment="1">
      <alignment horizontal="center"/>
    </xf>
    <xf numFmtId="0" fontId="8" fillId="0" borderId="4" xfId="0" applyFont="1" applyFill="1" applyBorder="1" applyAlignment="1">
      <alignment horizontal="center"/>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9" fillId="0" borderId="0" xfId="0" applyFont="1" applyFill="1" applyAlignment="1">
      <alignment horizont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3" fontId="8" fillId="0" borderId="7" xfId="0" applyNumberFormat="1" applyFont="1" applyFill="1" applyBorder="1" applyAlignment="1">
      <alignment horizontal="center" vertical="center" wrapText="1"/>
    </xf>
    <xf numFmtId="3" fontId="8" fillId="0" borderId="3" xfId="0" applyNumberFormat="1" applyFont="1" applyFill="1" applyBorder="1" applyAlignment="1">
      <alignment horizontal="center"/>
    </xf>
    <xf numFmtId="3" fontId="8" fillId="0" borderId="5" xfId="0" applyNumberFormat="1" applyFont="1" applyFill="1" applyBorder="1" applyAlignment="1">
      <alignment horizontal="center"/>
    </xf>
    <xf numFmtId="0" fontId="9" fillId="0" borderId="8"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2"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2" xfId="0" applyFont="1" applyFill="1" applyBorder="1" applyAlignment="1">
      <alignment horizontal="left" vertical="top" wrapText="1"/>
    </xf>
    <xf numFmtId="0" fontId="31" fillId="0" borderId="6" xfId="0" applyFont="1" applyFill="1" applyBorder="1" applyAlignment="1">
      <alignment horizontal="left" vertical="top" wrapText="1"/>
    </xf>
    <xf numFmtId="0" fontId="35" fillId="0" borderId="6" xfId="0" applyFont="1" applyFill="1" applyBorder="1" applyAlignment="1">
      <alignment vertical="top" wrapText="1"/>
    </xf>
    <xf numFmtId="0" fontId="35" fillId="0" borderId="6" xfId="0" applyFont="1" applyFill="1" applyBorder="1" applyAlignment="1">
      <alignment horizontal="left" vertical="top" wrapText="1"/>
    </xf>
    <xf numFmtId="0" fontId="35" fillId="0" borderId="7" xfId="0" applyFont="1" applyFill="1" applyBorder="1" applyAlignment="1">
      <alignment horizontal="left" vertical="top" wrapText="1"/>
    </xf>
    <xf numFmtId="0" fontId="20" fillId="0" borderId="6" xfId="0" applyFont="1" applyFill="1" applyBorder="1" applyAlignment="1">
      <alignment horizontal="left" vertical="top" wrapText="1"/>
    </xf>
    <xf numFmtId="0" fontId="23" fillId="0" borderId="0" xfId="0" applyFont="1" applyFill="1" applyBorder="1" applyAlignment="1">
      <alignment horizontal="left" wrapText="1"/>
    </xf>
    <xf numFmtId="0" fontId="23" fillId="0" borderId="12" xfId="0" applyFont="1" applyFill="1" applyBorder="1" applyAlignment="1">
      <alignment horizontal="left" wrapText="1"/>
    </xf>
    <xf numFmtId="0" fontId="23" fillId="0" borderId="0" xfId="0" applyFont="1" applyFill="1" applyBorder="1" applyAlignment="1">
      <alignment horizontal="left" vertical="top" wrapText="1"/>
    </xf>
    <xf numFmtId="0" fontId="23" fillId="0" borderId="12"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12"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2" xfId="0" applyFont="1" applyFill="1" applyBorder="1" applyAlignment="1">
      <alignment horizontal="left" vertical="top" wrapText="1"/>
    </xf>
    <xf numFmtId="0" fontId="26" fillId="0" borderId="8" xfId="0" applyFont="1" applyBorder="1" applyAlignment="1">
      <alignment horizontal="left" vertical="top" wrapText="1"/>
    </xf>
    <xf numFmtId="0" fontId="26" fillId="0" borderId="0" xfId="0" applyFont="1" applyBorder="1" applyAlignment="1">
      <alignment horizontal="left" vertical="top" wrapText="1"/>
    </xf>
    <xf numFmtId="0" fontId="26" fillId="0" borderId="12" xfId="0" applyFont="1" applyBorder="1" applyAlignment="1">
      <alignment horizontal="left" vertical="top" wrapText="1"/>
    </xf>
    <xf numFmtId="0" fontId="23" fillId="0" borderId="0" xfId="0" applyFont="1" applyFill="1" applyBorder="1" applyAlignment="1">
      <alignment horizontal="left"/>
    </xf>
    <xf numFmtId="0" fontId="23" fillId="0" borderId="12" xfId="0" applyFont="1" applyFill="1" applyBorder="1" applyAlignment="1">
      <alignment horizontal="left"/>
    </xf>
    <xf numFmtId="0" fontId="21" fillId="0" borderId="8" xfId="0" applyFont="1" applyFill="1" applyBorder="1" applyAlignment="1">
      <alignment vertical="top" wrapText="1"/>
    </xf>
    <xf numFmtId="0" fontId="21" fillId="0" borderId="0" xfId="0" applyFont="1" applyFill="1" applyBorder="1" applyAlignment="1">
      <alignment vertical="top" wrapText="1"/>
    </xf>
    <xf numFmtId="0" fontId="21" fillId="0" borderId="12" xfId="0" applyFont="1" applyFill="1" applyBorder="1" applyAlignment="1">
      <alignment vertical="top" wrapText="1"/>
    </xf>
    <xf numFmtId="0" fontId="27" fillId="0" borderId="8" xfId="0" applyFont="1" applyBorder="1" applyAlignment="1">
      <alignment horizontal="left" vertical="top" wrapText="1"/>
    </xf>
    <xf numFmtId="0" fontId="27" fillId="0" borderId="0" xfId="0" applyFont="1" applyBorder="1" applyAlignment="1">
      <alignment horizontal="left" vertical="top" wrapText="1"/>
    </xf>
    <xf numFmtId="0" fontId="27" fillId="0" borderId="12" xfId="0" applyFont="1" applyBorder="1" applyAlignment="1">
      <alignment horizontal="left" vertical="top" wrapText="1"/>
    </xf>
    <xf numFmtId="0" fontId="20" fillId="0" borderId="0" xfId="0" quotePrefix="1" applyFont="1" applyFill="1" applyBorder="1" applyAlignment="1">
      <alignment horizontal="left" vertical="top" wrapText="1"/>
    </xf>
    <xf numFmtId="0" fontId="20" fillId="0" borderId="12" xfId="0" quotePrefix="1" applyFont="1" applyFill="1" applyBorder="1" applyAlignment="1">
      <alignment horizontal="left" vertical="top" wrapText="1"/>
    </xf>
    <xf numFmtId="0" fontId="23" fillId="0" borderId="15" xfId="0" applyFont="1" applyFill="1" applyBorder="1" applyAlignment="1">
      <alignment horizontal="left"/>
    </xf>
    <xf numFmtId="0" fontId="23" fillId="0" borderId="13" xfId="0" applyFont="1" applyFill="1" applyBorder="1" applyAlignment="1">
      <alignment horizontal="left"/>
    </xf>
    <xf numFmtId="0" fontId="21" fillId="0" borderId="0" xfId="0" applyFont="1" applyFill="1" applyAlignment="1">
      <alignment horizontal="center" wrapText="1"/>
    </xf>
    <xf numFmtId="3" fontId="21" fillId="0" borderId="0" xfId="0" applyNumberFormat="1" applyFont="1" applyFill="1" applyAlignment="1">
      <alignment horizont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1" xfId="0" applyFont="1" applyFill="1" applyBorder="1" applyAlignment="1">
      <alignment horizontal="center" wrapText="1"/>
    </xf>
    <xf numFmtId="0" fontId="20" fillId="0" borderId="10"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3" xfId="0" applyFont="1" applyFill="1" applyBorder="1" applyAlignment="1">
      <alignment horizontal="center" vertical="center" wrapText="1"/>
    </xf>
    <xf numFmtId="165" fontId="20" fillId="0" borderId="3" xfId="0" applyNumberFormat="1" applyFont="1" applyFill="1" applyBorder="1" applyAlignment="1">
      <alignment horizontal="center"/>
    </xf>
    <xf numFmtId="165" fontId="20" fillId="0" borderId="5" xfId="0" applyNumberFormat="1" applyFont="1" applyFill="1" applyBorder="1" applyAlignment="1">
      <alignment horizont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3" fontId="20" fillId="0" borderId="5" xfId="0" applyNumberFormat="1" applyFont="1" applyFill="1" applyBorder="1" applyAlignment="1">
      <alignment horizontal="center" vertical="center"/>
    </xf>
    <xf numFmtId="0" fontId="20" fillId="0" borderId="3" xfId="0" applyFont="1" applyFill="1" applyBorder="1" applyAlignment="1">
      <alignment horizontal="center" vertical="center" wrapText="1"/>
    </xf>
    <xf numFmtId="3" fontId="20" fillId="0" borderId="4" xfId="0" applyNumberFormat="1" applyFont="1" applyFill="1" applyBorder="1" applyAlignment="1">
      <alignment horizontal="center" vertical="center" wrapText="1"/>
    </xf>
    <xf numFmtId="3" fontId="20" fillId="0" borderId="2" xfId="0" applyNumberFormat="1" applyFont="1" applyFill="1" applyBorder="1" applyAlignment="1">
      <alignment horizontal="center" vertical="center" wrapText="1"/>
    </xf>
    <xf numFmtId="3" fontId="20" fillId="0" borderId="7" xfId="0" applyNumberFormat="1" applyFont="1" applyFill="1" applyBorder="1" applyAlignment="1">
      <alignment horizontal="center" vertical="center" wrapText="1"/>
    </xf>
    <xf numFmtId="0" fontId="20" fillId="0" borderId="3" xfId="0" applyFont="1" applyFill="1" applyBorder="1" applyAlignment="1">
      <alignment horizontal="center"/>
    </xf>
    <xf numFmtId="0" fontId="20" fillId="0" borderId="4" xfId="0" applyFont="1" applyFill="1" applyBorder="1" applyAlignment="1">
      <alignment horizontal="center"/>
    </xf>
    <xf numFmtId="3" fontId="20" fillId="0" borderId="4" xfId="0" applyNumberFormat="1" applyFont="1" applyFill="1" applyBorder="1" applyAlignment="1">
      <alignment horizontal="center"/>
    </xf>
    <xf numFmtId="3" fontId="20" fillId="0" borderId="3" xfId="0" applyNumberFormat="1" applyFont="1" applyFill="1" applyBorder="1" applyAlignment="1">
      <alignment horizontal="center"/>
    </xf>
    <xf numFmtId="3" fontId="20" fillId="0" borderId="5" xfId="0" applyNumberFormat="1" applyFont="1" applyFill="1" applyBorder="1" applyAlignment="1">
      <alignment horizontal="center"/>
    </xf>
    <xf numFmtId="49" fontId="20" fillId="0" borderId="3" xfId="0" applyNumberFormat="1" applyFont="1" applyFill="1" applyBorder="1" applyAlignment="1">
      <alignment horizontal="center" wrapText="1"/>
    </xf>
    <xf numFmtId="49" fontId="20" fillId="0" borderId="4" xfId="0" applyNumberFormat="1" applyFont="1" applyFill="1" applyBorder="1" applyAlignment="1">
      <alignment horizontal="center" wrapText="1"/>
    </xf>
    <xf numFmtId="49" fontId="20" fillId="0" borderId="5" xfId="0" applyNumberFormat="1" applyFont="1" applyFill="1" applyBorder="1" applyAlignment="1">
      <alignment horizontal="center" wrapText="1"/>
    </xf>
    <xf numFmtId="49" fontId="20" fillId="0" borderId="3" xfId="0" applyNumberFormat="1" applyFont="1" applyFill="1" applyBorder="1" applyAlignment="1">
      <alignment vertical="top" wrapText="1"/>
    </xf>
    <xf numFmtId="49" fontId="20" fillId="0" borderId="4" xfId="0" applyNumberFormat="1" applyFont="1" applyFill="1" applyBorder="1" applyAlignment="1">
      <alignment vertical="top" wrapText="1"/>
    </xf>
    <xf numFmtId="49" fontId="20" fillId="0" borderId="5" xfId="0" applyNumberFormat="1" applyFont="1" applyFill="1" applyBorder="1" applyAlignment="1">
      <alignment vertical="top" wrapText="1"/>
    </xf>
    <xf numFmtId="0" fontId="21" fillId="3" borderId="8" xfId="0" applyFont="1" applyFill="1" applyBorder="1" applyAlignment="1">
      <alignment horizontal="left" vertical="top" wrapText="1"/>
    </xf>
    <xf numFmtId="0" fontId="21" fillId="3" borderId="0" xfId="0" applyFont="1" applyFill="1" applyBorder="1" applyAlignment="1">
      <alignment horizontal="left" vertical="top" wrapText="1"/>
    </xf>
    <xf numFmtId="0" fontId="21" fillId="3" borderId="12" xfId="0" applyFont="1" applyFill="1" applyBorder="1" applyAlignment="1">
      <alignment horizontal="left" vertical="top" wrapText="1"/>
    </xf>
  </cellXfs>
  <cellStyles count="4">
    <cellStyle name="Comma" xfId="3" builtinId="3"/>
    <cellStyle name="Comma [0]" xfId="1" builtinId="6"/>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election activeCell="F15" sqref="F15"/>
    </sheetView>
  </sheetViews>
  <sheetFormatPr defaultColWidth="9.140625" defaultRowHeight="12.75" x14ac:dyDescent="0.2"/>
  <cols>
    <col min="1" max="1" width="9.140625" style="3"/>
    <col min="2" max="2" width="48.42578125" style="3" bestFit="1" customWidth="1"/>
    <col min="3" max="3" width="26.140625" style="3" bestFit="1" customWidth="1"/>
    <col min="4" max="16384" width="9.140625" style="3"/>
  </cols>
  <sheetData>
    <row r="1" spans="1:4" ht="30" x14ac:dyDescent="0.2">
      <c r="A1" s="4" t="s">
        <v>0</v>
      </c>
      <c r="B1" s="2" t="s">
        <v>1</v>
      </c>
      <c r="C1" s="2" t="s">
        <v>35</v>
      </c>
      <c r="D1" s="1"/>
    </row>
    <row r="2" spans="1:4" ht="15" x14ac:dyDescent="0.2">
      <c r="A2" s="4"/>
      <c r="B2" s="4"/>
      <c r="C2" s="5"/>
      <c r="D2" s="1"/>
    </row>
    <row r="3" spans="1:4" ht="15" x14ac:dyDescent="0.2">
      <c r="A3" s="4" t="s">
        <v>2</v>
      </c>
      <c r="B3" s="6" t="s">
        <v>3</v>
      </c>
      <c r="C3" s="8">
        <v>14589453702</v>
      </c>
      <c r="D3" s="1"/>
    </row>
    <row r="4" spans="1:4" ht="15" x14ac:dyDescent="0.2">
      <c r="A4" s="6"/>
      <c r="B4" s="6"/>
      <c r="C4" s="7"/>
      <c r="D4" s="1"/>
    </row>
    <row r="5" spans="1:4" ht="15" x14ac:dyDescent="0.2">
      <c r="A5" s="4" t="s">
        <v>4</v>
      </c>
      <c r="B5" s="6" t="s">
        <v>5</v>
      </c>
      <c r="C5" s="8">
        <f>SUM(C6:C15)</f>
        <v>137171943659.24998</v>
      </c>
      <c r="D5" s="1"/>
    </row>
    <row r="6" spans="1:4" ht="15" x14ac:dyDescent="0.2">
      <c r="A6" s="5">
        <v>1</v>
      </c>
      <c r="B6" s="6" t="s">
        <v>6</v>
      </c>
      <c r="C6" s="7">
        <v>20161000</v>
      </c>
      <c r="D6" s="1"/>
    </row>
    <row r="7" spans="1:4" ht="15" x14ac:dyDescent="0.2">
      <c r="A7" s="5">
        <v>2</v>
      </c>
      <c r="B7" s="6" t="s">
        <v>7</v>
      </c>
      <c r="C7" s="7">
        <v>1639888800</v>
      </c>
      <c r="D7" s="1"/>
    </row>
    <row r="8" spans="1:4" ht="15" x14ac:dyDescent="0.2">
      <c r="A8" s="5">
        <v>3</v>
      </c>
      <c r="B8" s="6" t="s">
        <v>8</v>
      </c>
      <c r="C8" s="7">
        <v>3570022191.52</v>
      </c>
      <c r="D8" s="1"/>
    </row>
    <row r="9" spans="1:4" ht="15" x14ac:dyDescent="0.2">
      <c r="A9" s="5">
        <v>4</v>
      </c>
      <c r="B9" s="6" t="s">
        <v>9</v>
      </c>
      <c r="C9" s="7">
        <v>416311480.50999999</v>
      </c>
      <c r="D9" s="1"/>
    </row>
    <row r="10" spans="1:4" ht="15" x14ac:dyDescent="0.2">
      <c r="A10" s="5">
        <v>5</v>
      </c>
      <c r="B10" s="6" t="s">
        <v>10</v>
      </c>
      <c r="C10" s="7">
        <v>95731180963.869995</v>
      </c>
      <c r="D10" s="1"/>
    </row>
    <row r="11" spans="1:4" ht="15" x14ac:dyDescent="0.2">
      <c r="A11" s="5">
        <v>6</v>
      </c>
      <c r="B11" s="6" t="s">
        <v>11</v>
      </c>
      <c r="C11" s="7">
        <v>7175545376.6899996</v>
      </c>
      <c r="D11" s="1"/>
    </row>
    <row r="12" spans="1:4" ht="15" x14ac:dyDescent="0.2">
      <c r="A12" s="5">
        <v>7</v>
      </c>
      <c r="B12" s="6" t="s">
        <v>12</v>
      </c>
      <c r="C12" s="7" t="s">
        <v>13</v>
      </c>
      <c r="D12" s="1"/>
    </row>
    <row r="13" spans="1:4" ht="15" x14ac:dyDescent="0.2">
      <c r="A13" s="5">
        <v>8</v>
      </c>
      <c r="B13" s="6" t="s">
        <v>14</v>
      </c>
      <c r="C13" s="7">
        <v>198123364.15000001</v>
      </c>
      <c r="D13" s="1"/>
    </row>
    <row r="14" spans="1:4" ht="15" x14ac:dyDescent="0.2">
      <c r="A14" s="5">
        <v>9</v>
      </c>
      <c r="B14" s="6" t="s">
        <v>15</v>
      </c>
      <c r="C14" s="7">
        <v>28214460234.509998</v>
      </c>
      <c r="D14" s="1"/>
    </row>
    <row r="15" spans="1:4" ht="15" x14ac:dyDescent="0.2">
      <c r="A15" s="5">
        <v>10</v>
      </c>
      <c r="B15" s="6" t="s">
        <v>16</v>
      </c>
      <c r="C15" s="7">
        <v>206250248</v>
      </c>
      <c r="D15" s="1"/>
    </row>
    <row r="16" spans="1:4" ht="15" x14ac:dyDescent="0.2">
      <c r="A16" s="6"/>
      <c r="B16" s="6"/>
      <c r="C16" s="7"/>
      <c r="D16" s="1"/>
    </row>
    <row r="17" spans="1:4" ht="15" x14ac:dyDescent="0.2">
      <c r="A17" s="4" t="s">
        <v>17</v>
      </c>
      <c r="B17" s="6" t="s">
        <v>18</v>
      </c>
      <c r="C17" s="8">
        <f>SUM(C18:C19)</f>
        <v>433805564413.75</v>
      </c>
      <c r="D17" s="1"/>
    </row>
    <row r="18" spans="1:4" ht="15" x14ac:dyDescent="0.2">
      <c r="A18" s="5">
        <v>1</v>
      </c>
      <c r="B18" s="6" t="s">
        <v>19</v>
      </c>
      <c r="C18" s="7">
        <v>428681661379.03003</v>
      </c>
      <c r="D18" s="1"/>
    </row>
    <row r="19" spans="1:4" ht="15" x14ac:dyDescent="0.2">
      <c r="A19" s="5">
        <v>2</v>
      </c>
      <c r="B19" s="6" t="s">
        <v>20</v>
      </c>
      <c r="C19" s="7">
        <v>5123903034.7200003</v>
      </c>
      <c r="D19" s="1"/>
    </row>
    <row r="20" spans="1:4" ht="15" x14ac:dyDescent="0.2">
      <c r="A20" s="6"/>
      <c r="B20" s="6"/>
      <c r="C20" s="7"/>
      <c r="D20" s="1"/>
    </row>
    <row r="21" spans="1:4" ht="15" x14ac:dyDescent="0.2">
      <c r="A21" s="4" t="s">
        <v>21</v>
      </c>
      <c r="B21" s="6" t="s">
        <v>22</v>
      </c>
      <c r="C21" s="8">
        <f>SUM(C22:C26)</f>
        <v>4397573887.96</v>
      </c>
      <c r="D21" s="1"/>
    </row>
    <row r="22" spans="1:4" ht="15" x14ac:dyDescent="0.2">
      <c r="A22" s="5">
        <v>1</v>
      </c>
      <c r="B22" s="6" t="s">
        <v>23</v>
      </c>
      <c r="C22" s="7">
        <v>271350000</v>
      </c>
      <c r="D22" s="1"/>
    </row>
    <row r="23" spans="1:4" ht="15" x14ac:dyDescent="0.2">
      <c r="A23" s="5">
        <v>2</v>
      </c>
      <c r="B23" s="6" t="s">
        <v>24</v>
      </c>
      <c r="C23" s="7">
        <v>1951825899.96</v>
      </c>
      <c r="D23" s="1"/>
    </row>
    <row r="24" spans="1:4" ht="15" x14ac:dyDescent="0.2">
      <c r="A24" s="6"/>
      <c r="B24" s="6" t="s">
        <v>25</v>
      </c>
      <c r="C24" s="5" t="s">
        <v>13</v>
      </c>
      <c r="D24" s="1"/>
    </row>
    <row r="25" spans="1:4" ht="15" x14ac:dyDescent="0.2">
      <c r="A25" s="5">
        <v>3</v>
      </c>
      <c r="B25" s="6" t="s">
        <v>26</v>
      </c>
      <c r="C25" s="7">
        <v>1491569330</v>
      </c>
      <c r="D25" s="1"/>
    </row>
    <row r="26" spans="1:4" ht="15" x14ac:dyDescent="0.2">
      <c r="A26" s="5">
        <v>4</v>
      </c>
      <c r="B26" s="6" t="s">
        <v>27</v>
      </c>
      <c r="C26" s="7">
        <v>682828658</v>
      </c>
      <c r="D26" s="1"/>
    </row>
    <row r="27" spans="1:4" ht="15" x14ac:dyDescent="0.2">
      <c r="A27" s="6"/>
      <c r="B27" s="6"/>
      <c r="C27" s="7"/>
      <c r="D27" s="1"/>
    </row>
    <row r="28" spans="1:4" ht="15" x14ac:dyDescent="0.2">
      <c r="A28" s="4" t="s">
        <v>28</v>
      </c>
      <c r="B28" s="6" t="s">
        <v>29</v>
      </c>
      <c r="C28" s="8">
        <f>SUM(C29:C32)</f>
        <v>17264286700.220001</v>
      </c>
      <c r="D28" s="1"/>
    </row>
    <row r="29" spans="1:4" ht="15" x14ac:dyDescent="0.2">
      <c r="A29" s="5">
        <v>1</v>
      </c>
      <c r="B29" s="6" t="s">
        <v>30</v>
      </c>
      <c r="C29" s="7">
        <v>7907356640.5200005</v>
      </c>
      <c r="D29" s="1"/>
    </row>
    <row r="30" spans="1:4" ht="15" x14ac:dyDescent="0.2">
      <c r="A30" s="5">
        <v>2</v>
      </c>
      <c r="B30" s="6" t="s">
        <v>31</v>
      </c>
      <c r="C30" s="7">
        <v>9227490058.7000008</v>
      </c>
      <c r="D30" s="1"/>
    </row>
    <row r="31" spans="1:4" ht="15" x14ac:dyDescent="0.2">
      <c r="A31" s="5">
        <v>3</v>
      </c>
      <c r="B31" s="6" t="s">
        <v>32</v>
      </c>
      <c r="C31" s="7">
        <v>129440001</v>
      </c>
      <c r="D31" s="1"/>
    </row>
    <row r="32" spans="1:4" ht="15" x14ac:dyDescent="0.2">
      <c r="A32" s="5">
        <v>4</v>
      </c>
      <c r="B32" s="6" t="s">
        <v>33</v>
      </c>
      <c r="C32" s="7">
        <v>0</v>
      </c>
      <c r="D32" s="1"/>
    </row>
    <row r="33" spans="1:4" ht="15" x14ac:dyDescent="0.2">
      <c r="A33" s="6"/>
      <c r="B33" s="4" t="s">
        <v>34</v>
      </c>
      <c r="C33" s="8">
        <f>C28+C21+C17+C5+C3</f>
        <v>607228822363.17993</v>
      </c>
      <c r="D33" s="1"/>
    </row>
    <row r="34" spans="1:4" x14ac:dyDescent="0.2">
      <c r="A34" s="9"/>
      <c r="B34" s="9"/>
      <c r="C34" s="10"/>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011"/>
  <sheetViews>
    <sheetView showGridLines="0" view="pageBreakPreview" topLeftCell="R962" zoomScale="60" zoomScaleNormal="100" workbookViewId="0">
      <selection activeCell="Z975" sqref="Z975"/>
    </sheetView>
  </sheetViews>
  <sheetFormatPr defaultColWidth="9.140625" defaultRowHeight="15.75" x14ac:dyDescent="0.3"/>
  <cols>
    <col min="1" max="1" width="9.140625" style="11"/>
    <col min="2" max="2" width="13.140625" style="14" customWidth="1"/>
    <col min="3" max="3" width="14.42578125" style="14" customWidth="1"/>
    <col min="4" max="4" width="9.140625" style="433"/>
    <col min="5" max="9" width="3.5703125" style="13" customWidth="1"/>
    <col min="10" max="10" width="49.85546875" style="14" customWidth="1"/>
    <col min="11" max="11" width="9.85546875" style="14" customWidth="1"/>
    <col min="12" max="12" width="2.7109375" style="14" customWidth="1"/>
    <col min="13" max="13" width="30.28515625" style="14" customWidth="1"/>
    <col min="14" max="14" width="13.85546875" style="14" customWidth="1"/>
    <col min="15" max="27" width="16.140625" style="13" customWidth="1"/>
    <col min="28" max="28" width="16.42578125" style="15" hidden="1" customWidth="1"/>
    <col min="29" max="29" width="15.140625" style="16" hidden="1" customWidth="1"/>
    <col min="30" max="30" width="12.85546875" style="17" hidden="1" customWidth="1"/>
    <col min="31" max="31" width="10.85546875" style="18" hidden="1" customWidth="1"/>
    <col min="32" max="32" width="18.85546875" style="433" customWidth="1"/>
    <col min="33" max="16384" width="9.140625" style="11"/>
  </cols>
  <sheetData>
    <row r="1" spans="2:32" ht="15" x14ac:dyDescent="0.25">
      <c r="B1" s="489" t="s">
        <v>261</v>
      </c>
      <c r="C1" s="489"/>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c r="AE1" s="489"/>
      <c r="AF1" s="489"/>
    </row>
    <row r="2" spans="2:32" ht="15" x14ac:dyDescent="0.25">
      <c r="B2" s="489" t="s">
        <v>262</v>
      </c>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row>
    <row r="3" spans="2:32" ht="15" x14ac:dyDescent="0.25">
      <c r="B3" s="489" t="s">
        <v>260</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row>
    <row r="4" spans="2:32" ht="15" x14ac:dyDescent="0.25">
      <c r="B4" s="489" t="s">
        <v>263</v>
      </c>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row>
    <row r="5" spans="2:32" x14ac:dyDescent="0.3">
      <c r="E5" s="12"/>
    </row>
    <row r="6" spans="2:32" x14ac:dyDescent="0.3">
      <c r="B6" s="473" t="s">
        <v>264</v>
      </c>
      <c r="C6" s="477" t="s">
        <v>265</v>
      </c>
      <c r="D6" s="473" t="s">
        <v>266</v>
      </c>
      <c r="E6" s="473" t="s">
        <v>36</v>
      </c>
      <c r="F6" s="474"/>
      <c r="G6" s="474"/>
      <c r="H6" s="474"/>
      <c r="I6" s="474"/>
      <c r="J6" s="473" t="s">
        <v>288</v>
      </c>
      <c r="K6" s="480" t="s">
        <v>267</v>
      </c>
      <c r="L6" s="481"/>
      <c r="M6" s="482"/>
      <c r="N6" s="477" t="s">
        <v>268</v>
      </c>
      <c r="O6" s="475" t="s">
        <v>278</v>
      </c>
      <c r="P6" s="476"/>
      <c r="Q6" s="476"/>
      <c r="R6" s="476"/>
      <c r="S6" s="476"/>
      <c r="T6" s="476"/>
      <c r="U6" s="476"/>
      <c r="V6" s="476"/>
      <c r="W6" s="476"/>
      <c r="X6" s="476"/>
      <c r="Y6" s="476"/>
      <c r="Z6" s="476"/>
      <c r="AA6" s="477" t="s">
        <v>276</v>
      </c>
      <c r="AB6" s="494" t="s">
        <v>37</v>
      </c>
      <c r="AC6" s="495"/>
      <c r="AD6" s="466" t="s">
        <v>38</v>
      </c>
      <c r="AE6" s="467"/>
      <c r="AF6" s="477" t="s">
        <v>277</v>
      </c>
    </row>
    <row r="7" spans="2:32" ht="28.5" x14ac:dyDescent="0.25">
      <c r="B7" s="473"/>
      <c r="C7" s="478"/>
      <c r="D7" s="473"/>
      <c r="E7" s="473"/>
      <c r="F7" s="474"/>
      <c r="G7" s="474"/>
      <c r="H7" s="474"/>
      <c r="I7" s="474"/>
      <c r="J7" s="473"/>
      <c r="K7" s="483"/>
      <c r="L7" s="484"/>
      <c r="M7" s="485"/>
      <c r="N7" s="478"/>
      <c r="O7" s="471" t="s">
        <v>269</v>
      </c>
      <c r="P7" s="472"/>
      <c r="Q7" s="471" t="s">
        <v>271</v>
      </c>
      <c r="R7" s="472"/>
      <c r="S7" s="471" t="s">
        <v>272</v>
      </c>
      <c r="T7" s="472"/>
      <c r="U7" s="471" t="s">
        <v>273</v>
      </c>
      <c r="V7" s="472"/>
      <c r="W7" s="471" t="s">
        <v>274</v>
      </c>
      <c r="X7" s="472"/>
      <c r="Y7" s="490" t="s">
        <v>275</v>
      </c>
      <c r="Z7" s="491"/>
      <c r="AA7" s="478"/>
      <c r="AB7" s="492" t="s">
        <v>39</v>
      </c>
      <c r="AC7" s="492" t="s">
        <v>40</v>
      </c>
      <c r="AD7" s="19" t="s">
        <v>41</v>
      </c>
      <c r="AE7" s="20" t="s">
        <v>42</v>
      </c>
      <c r="AF7" s="478"/>
    </row>
    <row r="8" spans="2:32" ht="15" x14ac:dyDescent="0.25">
      <c r="B8" s="473"/>
      <c r="C8" s="479"/>
      <c r="D8" s="473"/>
      <c r="E8" s="474"/>
      <c r="F8" s="474"/>
      <c r="G8" s="474"/>
      <c r="H8" s="474"/>
      <c r="I8" s="474"/>
      <c r="J8" s="473"/>
      <c r="K8" s="486"/>
      <c r="L8" s="487"/>
      <c r="M8" s="488"/>
      <c r="N8" s="479"/>
      <c r="O8" s="21" t="s">
        <v>43</v>
      </c>
      <c r="P8" s="21" t="s">
        <v>270</v>
      </c>
      <c r="Q8" s="21" t="s">
        <v>43</v>
      </c>
      <c r="R8" s="21" t="s">
        <v>270</v>
      </c>
      <c r="S8" s="21" t="s">
        <v>43</v>
      </c>
      <c r="T8" s="21" t="s">
        <v>270</v>
      </c>
      <c r="U8" s="21" t="s">
        <v>43</v>
      </c>
      <c r="V8" s="21" t="s">
        <v>270</v>
      </c>
      <c r="W8" s="21" t="s">
        <v>43</v>
      </c>
      <c r="X8" s="21" t="s">
        <v>270</v>
      </c>
      <c r="Y8" s="21" t="s">
        <v>43</v>
      </c>
      <c r="Z8" s="313" t="s">
        <v>270</v>
      </c>
      <c r="AA8" s="479"/>
      <c r="AB8" s="493"/>
      <c r="AC8" s="493"/>
      <c r="AD8" s="22" t="s">
        <v>44</v>
      </c>
      <c r="AE8" s="22" t="s">
        <v>44</v>
      </c>
      <c r="AF8" s="479"/>
    </row>
    <row r="9" spans="2:32" x14ac:dyDescent="0.3">
      <c r="B9" s="23" t="s">
        <v>284</v>
      </c>
      <c r="C9" s="23" t="s">
        <v>285</v>
      </c>
      <c r="D9" s="23" t="s">
        <v>45</v>
      </c>
      <c r="E9" s="468" t="s">
        <v>46</v>
      </c>
      <c r="F9" s="469"/>
      <c r="G9" s="469"/>
      <c r="H9" s="469"/>
      <c r="I9" s="470"/>
      <c r="J9" s="23" t="s">
        <v>47</v>
      </c>
      <c r="K9" s="468" t="s">
        <v>48</v>
      </c>
      <c r="L9" s="469"/>
      <c r="M9" s="470"/>
      <c r="N9" s="24" t="s">
        <v>49</v>
      </c>
      <c r="O9" s="24" t="s">
        <v>50</v>
      </c>
      <c r="P9" s="24" t="s">
        <v>51</v>
      </c>
      <c r="Q9" s="24" t="s">
        <v>52</v>
      </c>
      <c r="R9" s="24" t="s">
        <v>53</v>
      </c>
      <c r="S9" s="24" t="s">
        <v>54</v>
      </c>
      <c r="T9" s="24" t="s">
        <v>55</v>
      </c>
      <c r="U9" s="24" t="s">
        <v>56</v>
      </c>
      <c r="V9" s="24" t="s">
        <v>57</v>
      </c>
      <c r="W9" s="24" t="s">
        <v>279</v>
      </c>
      <c r="X9" s="24" t="s">
        <v>280</v>
      </c>
      <c r="Y9" s="24" t="s">
        <v>281</v>
      </c>
      <c r="Z9" s="24" t="s">
        <v>281</v>
      </c>
      <c r="AA9" s="24" t="s">
        <v>282</v>
      </c>
      <c r="AB9" s="24" t="s">
        <v>283</v>
      </c>
      <c r="AC9" s="25" t="s">
        <v>55</v>
      </c>
      <c r="AD9" s="24" t="s">
        <v>56</v>
      </c>
      <c r="AE9" s="23" t="s">
        <v>57</v>
      </c>
      <c r="AF9" s="24" t="s">
        <v>283</v>
      </c>
    </row>
    <row r="10" spans="2:32" s="32" customFormat="1" x14ac:dyDescent="0.3">
      <c r="B10" s="27"/>
      <c r="C10" s="27"/>
      <c r="D10" s="434"/>
      <c r="E10" s="26"/>
      <c r="F10" s="26"/>
      <c r="G10" s="26"/>
      <c r="H10" s="26"/>
      <c r="I10" s="26"/>
      <c r="J10" s="27"/>
      <c r="K10" s="364"/>
      <c r="L10" s="365"/>
      <c r="M10" s="366"/>
      <c r="N10" s="27"/>
      <c r="O10" s="27"/>
      <c r="P10" s="27"/>
      <c r="Q10" s="27"/>
      <c r="R10" s="27"/>
      <c r="S10" s="27"/>
      <c r="T10" s="27"/>
      <c r="U10" s="27"/>
      <c r="V10" s="27"/>
      <c r="W10" s="27"/>
      <c r="X10" s="27"/>
      <c r="Y10" s="27"/>
      <c r="Z10" s="35"/>
      <c r="AA10" s="102"/>
      <c r="AB10" s="103"/>
      <c r="AC10" s="104"/>
      <c r="AD10" s="105"/>
      <c r="AE10" s="106"/>
      <c r="AF10" s="435"/>
    </row>
    <row r="11" spans="2:32" s="32" customFormat="1" x14ac:dyDescent="0.3">
      <c r="B11" s="35"/>
      <c r="C11" s="27"/>
      <c r="D11" s="434"/>
      <c r="E11" s="33"/>
      <c r="F11" s="34"/>
      <c r="G11" s="34"/>
      <c r="H11" s="34"/>
      <c r="I11" s="34"/>
      <c r="J11" s="27" t="s">
        <v>58</v>
      </c>
      <c r="K11" s="39"/>
      <c r="L11" s="39"/>
      <c r="M11" s="39"/>
      <c r="N11" s="36"/>
      <c r="O11" s="37"/>
      <c r="P11" s="28"/>
      <c r="Q11" s="37"/>
      <c r="R11" s="37"/>
      <c r="S11" s="37"/>
      <c r="T11" s="37"/>
      <c r="U11" s="37"/>
      <c r="V11" s="37"/>
      <c r="W11" s="37"/>
      <c r="X11" s="37"/>
      <c r="Y11" s="37"/>
      <c r="Z11" s="37"/>
      <c r="AA11" s="30"/>
      <c r="AB11" s="28"/>
      <c r="AC11" s="29"/>
      <c r="AD11" s="30"/>
      <c r="AE11" s="31"/>
      <c r="AF11" s="36"/>
    </row>
    <row r="12" spans="2:32" s="32" customFormat="1" x14ac:dyDescent="0.3">
      <c r="B12" s="35"/>
      <c r="C12" s="27"/>
      <c r="D12" s="434"/>
      <c r="E12" s="26">
        <v>1</v>
      </c>
      <c r="F12" s="38">
        <v>1</v>
      </c>
      <c r="G12" s="34"/>
      <c r="H12" s="34"/>
      <c r="I12" s="34"/>
      <c r="J12" s="27" t="s">
        <v>59</v>
      </c>
      <c r="K12" s="39"/>
      <c r="L12" s="39"/>
      <c r="M12" s="362"/>
      <c r="N12" s="36"/>
      <c r="O12" s="46"/>
      <c r="P12" s="28"/>
      <c r="Q12" s="37"/>
      <c r="R12" s="37"/>
      <c r="S12" s="37"/>
      <c r="T12" s="37"/>
      <c r="U12" s="37"/>
      <c r="V12" s="37"/>
      <c r="W12" s="37"/>
      <c r="X12" s="37"/>
      <c r="Y12" s="37"/>
      <c r="Z12" s="37"/>
      <c r="AA12" s="30"/>
      <c r="AB12" s="28"/>
      <c r="AC12" s="29"/>
      <c r="AD12" s="30"/>
      <c r="AE12" s="31"/>
      <c r="AF12" s="36"/>
    </row>
    <row r="13" spans="2:32" s="32" customFormat="1" x14ac:dyDescent="0.3">
      <c r="B13" s="27"/>
      <c r="C13" s="27"/>
      <c r="D13" s="434"/>
      <c r="E13" s="33"/>
      <c r="F13" s="34"/>
      <c r="G13" s="34"/>
      <c r="H13" s="34"/>
      <c r="I13" s="34"/>
      <c r="J13" s="27" t="s">
        <v>60</v>
      </c>
      <c r="K13" s="39"/>
      <c r="L13" s="39"/>
      <c r="M13" s="362"/>
      <c r="N13" s="36"/>
      <c r="O13" s="46"/>
      <c r="P13" s="28"/>
      <c r="Q13" s="37"/>
      <c r="R13" s="37"/>
      <c r="S13" s="37"/>
      <c r="T13" s="37"/>
      <c r="U13" s="37"/>
      <c r="V13" s="37"/>
      <c r="W13" s="37"/>
      <c r="X13" s="37"/>
      <c r="Y13" s="37"/>
      <c r="Z13" s="37"/>
      <c r="AA13" s="30"/>
      <c r="AB13" s="28"/>
      <c r="AC13" s="29"/>
      <c r="AD13" s="30"/>
      <c r="AE13" s="31"/>
      <c r="AF13" s="36"/>
    </row>
    <row r="14" spans="2:32" s="32" customFormat="1" ht="108" x14ac:dyDescent="0.25">
      <c r="B14" s="452" t="s">
        <v>1555</v>
      </c>
      <c r="C14" s="452" t="s">
        <v>1556</v>
      </c>
      <c r="D14" s="27" t="s">
        <v>1065</v>
      </c>
      <c r="E14" s="26">
        <v>1</v>
      </c>
      <c r="F14" s="38">
        <v>1</v>
      </c>
      <c r="G14" s="38">
        <v>1</v>
      </c>
      <c r="H14" s="38">
        <v>1</v>
      </c>
      <c r="I14" s="38"/>
      <c r="J14" s="27" t="s">
        <v>61</v>
      </c>
      <c r="K14" s="496" t="s">
        <v>289</v>
      </c>
      <c r="L14" s="497"/>
      <c r="M14" s="498"/>
      <c r="N14" s="372">
        <v>1</v>
      </c>
      <c r="O14" s="372">
        <v>1</v>
      </c>
      <c r="P14" s="42">
        <f>SUM(P17:P109)</f>
        <v>17687107000</v>
      </c>
      <c r="Q14" s="372">
        <v>1</v>
      </c>
      <c r="R14" s="42">
        <f>SUM(R17:R109)</f>
        <v>18178957000</v>
      </c>
      <c r="S14" s="372">
        <v>1</v>
      </c>
      <c r="T14" s="42">
        <f>SUM(T17:T109)</f>
        <v>19996852700</v>
      </c>
      <c r="U14" s="372">
        <v>1</v>
      </c>
      <c r="V14" s="42">
        <f>SUM(V17:V109)</f>
        <v>21996537970</v>
      </c>
      <c r="W14" s="372">
        <v>1</v>
      </c>
      <c r="X14" s="42">
        <f>SUM(X17:X109)</f>
        <v>24196191767</v>
      </c>
      <c r="Y14" s="372">
        <v>1</v>
      </c>
      <c r="Z14" s="431">
        <f>X14+V14+T14+R14+P14</f>
        <v>102055646437</v>
      </c>
      <c r="AA14" s="30"/>
      <c r="AB14" s="42">
        <f>SUM(AB17:AB115)</f>
        <v>8571300</v>
      </c>
      <c r="AC14" s="42">
        <f>SUM(AC17:AC115)</f>
        <v>8834380</v>
      </c>
      <c r="AD14" s="30"/>
      <c r="AE14" s="31"/>
      <c r="AF14" s="88" t="s">
        <v>62</v>
      </c>
    </row>
    <row r="15" spans="2:32" s="32" customFormat="1" x14ac:dyDescent="0.3">
      <c r="B15" s="36"/>
      <c r="C15" s="36"/>
      <c r="D15" s="434"/>
      <c r="E15" s="26"/>
      <c r="F15" s="38"/>
      <c r="G15" s="38"/>
      <c r="H15" s="38"/>
      <c r="I15" s="34"/>
      <c r="J15" s="27"/>
      <c r="K15" s="39"/>
      <c r="L15" s="39"/>
      <c r="M15" s="362"/>
      <c r="N15" s="41"/>
      <c r="O15" s="41"/>
      <c r="P15" s="44"/>
      <c r="Q15" s="428"/>
      <c r="R15" s="37"/>
      <c r="S15" s="429"/>
      <c r="T15" s="37"/>
      <c r="U15" s="428"/>
      <c r="V15" s="37"/>
      <c r="W15" s="428"/>
      <c r="X15" s="37"/>
      <c r="Y15" s="428"/>
      <c r="Z15" s="37"/>
      <c r="AA15" s="30"/>
      <c r="AB15" s="44"/>
      <c r="AC15" s="45"/>
      <c r="AD15" s="30"/>
      <c r="AE15" s="31"/>
      <c r="AF15" s="40"/>
    </row>
    <row r="16" spans="2:32" s="32" customFormat="1" x14ac:dyDescent="0.3">
      <c r="B16" s="36"/>
      <c r="C16" s="36"/>
      <c r="D16" s="434"/>
      <c r="E16" s="33"/>
      <c r="F16" s="34"/>
      <c r="G16" s="34"/>
      <c r="H16" s="34"/>
      <c r="I16" s="34"/>
      <c r="J16" s="27" t="s">
        <v>63</v>
      </c>
      <c r="K16" s="39"/>
      <c r="L16" s="39"/>
      <c r="M16" s="362"/>
      <c r="N16" s="36"/>
      <c r="O16" s="36"/>
      <c r="P16" s="44"/>
      <c r="Q16" s="36"/>
      <c r="R16" s="37"/>
      <c r="S16" s="36"/>
      <c r="T16" s="37"/>
      <c r="U16" s="36"/>
      <c r="V16" s="37"/>
      <c r="W16" s="36"/>
      <c r="X16" s="37"/>
      <c r="Y16" s="36"/>
      <c r="Z16" s="37"/>
      <c r="AA16" s="30"/>
      <c r="AB16" s="44"/>
      <c r="AC16" s="45"/>
      <c r="AD16" s="30"/>
      <c r="AE16" s="31"/>
      <c r="AF16" s="40"/>
    </row>
    <row r="17" spans="2:32" s="32" customFormat="1" ht="28.5" x14ac:dyDescent="0.25">
      <c r="B17" s="36"/>
      <c r="C17" s="36"/>
      <c r="D17" s="434"/>
      <c r="E17" s="33">
        <v>1</v>
      </c>
      <c r="F17" s="34">
        <v>1</v>
      </c>
      <c r="G17" s="34">
        <v>1</v>
      </c>
      <c r="H17" s="34">
        <v>1</v>
      </c>
      <c r="I17" s="34">
        <v>1</v>
      </c>
      <c r="J17" s="36" t="s">
        <v>64</v>
      </c>
      <c r="K17" s="374" t="s">
        <v>290</v>
      </c>
      <c r="L17" s="375" t="s">
        <v>291</v>
      </c>
      <c r="M17" s="375" t="s">
        <v>292</v>
      </c>
      <c r="N17" s="36" t="s">
        <v>301</v>
      </c>
      <c r="O17" s="36" t="s">
        <v>301</v>
      </c>
      <c r="P17" s="49">
        <v>1505000</v>
      </c>
      <c r="Q17" s="36" t="s">
        <v>301</v>
      </c>
      <c r="R17" s="47">
        <f>P17+(P17*3%)</f>
        <v>1550150</v>
      </c>
      <c r="S17" s="36" t="s">
        <v>301</v>
      </c>
      <c r="T17" s="47">
        <f>R17+(R17*10%)</f>
        <v>1705165</v>
      </c>
      <c r="U17" s="36" t="s">
        <v>301</v>
      </c>
      <c r="V17" s="47">
        <f>T17+(T17*10%)</f>
        <v>1875681.5</v>
      </c>
      <c r="W17" s="36" t="s">
        <v>301</v>
      </c>
      <c r="X17" s="47">
        <f>V17+(V17*10%)</f>
        <v>2063249.65</v>
      </c>
      <c r="Y17" s="36" t="s">
        <v>301</v>
      </c>
      <c r="Z17" s="431">
        <f>X17+V17+T17+R17+P17</f>
        <v>8699246.1500000004</v>
      </c>
      <c r="AA17" s="52" t="s">
        <v>66</v>
      </c>
      <c r="AB17" s="49">
        <v>96000</v>
      </c>
      <c r="AC17" s="50">
        <f>AB17+(AB17*1%)</f>
        <v>96960</v>
      </c>
      <c r="AD17" s="51" t="s">
        <v>66</v>
      </c>
      <c r="AE17" s="52" t="s">
        <v>67</v>
      </c>
      <c r="AF17" s="36" t="s">
        <v>65</v>
      </c>
    </row>
    <row r="18" spans="2:32" s="32" customFormat="1" ht="15" x14ac:dyDescent="0.25">
      <c r="B18" s="36"/>
      <c r="C18" s="36"/>
      <c r="D18" s="434"/>
      <c r="E18" s="33"/>
      <c r="F18" s="34"/>
      <c r="G18" s="34"/>
      <c r="H18" s="34"/>
      <c r="I18" s="34"/>
      <c r="J18" s="36"/>
      <c r="K18" s="374" t="s">
        <v>293</v>
      </c>
      <c r="L18" s="375" t="s">
        <v>291</v>
      </c>
      <c r="M18" s="362" t="s">
        <v>962</v>
      </c>
      <c r="N18" s="107" t="s">
        <v>961</v>
      </c>
      <c r="O18" s="107" t="s">
        <v>961</v>
      </c>
      <c r="P18" s="53"/>
      <c r="Q18" s="107" t="s">
        <v>961</v>
      </c>
      <c r="R18" s="37"/>
      <c r="S18" s="107" t="s">
        <v>961</v>
      </c>
      <c r="T18" s="37"/>
      <c r="U18" s="107" t="s">
        <v>961</v>
      </c>
      <c r="V18" s="37"/>
      <c r="W18" s="107" t="s">
        <v>961</v>
      </c>
      <c r="X18" s="37"/>
      <c r="Y18" s="107" t="s">
        <v>961</v>
      </c>
      <c r="Z18" s="37"/>
      <c r="AA18" s="52"/>
      <c r="AB18" s="53"/>
      <c r="AC18" s="50"/>
      <c r="AD18" s="51"/>
      <c r="AE18" s="52"/>
      <c r="AF18" s="36"/>
    </row>
    <row r="19" spans="2:32" s="32" customFormat="1" ht="28.5" x14ac:dyDescent="0.25">
      <c r="B19" s="36"/>
      <c r="C19" s="36"/>
      <c r="D19" s="434"/>
      <c r="E19" s="33"/>
      <c r="F19" s="34"/>
      <c r="G19" s="34"/>
      <c r="H19" s="34"/>
      <c r="I19" s="34"/>
      <c r="J19" s="36"/>
      <c r="K19" s="374" t="s">
        <v>294</v>
      </c>
      <c r="L19" s="375" t="s">
        <v>291</v>
      </c>
      <c r="M19" s="362" t="s">
        <v>994</v>
      </c>
      <c r="N19" s="383">
        <v>1</v>
      </c>
      <c r="O19" s="383">
        <v>1</v>
      </c>
      <c r="P19" s="53"/>
      <c r="Q19" s="383">
        <v>1</v>
      </c>
      <c r="R19" s="37"/>
      <c r="S19" s="383">
        <v>1</v>
      </c>
      <c r="T19" s="37"/>
      <c r="U19" s="383">
        <v>1</v>
      </c>
      <c r="V19" s="37"/>
      <c r="W19" s="383">
        <v>1</v>
      </c>
      <c r="X19" s="37"/>
      <c r="Y19" s="383">
        <v>1</v>
      </c>
      <c r="Z19" s="37"/>
      <c r="AA19" s="52"/>
      <c r="AB19" s="53"/>
      <c r="AC19" s="50"/>
      <c r="AD19" s="51"/>
      <c r="AE19" s="52"/>
      <c r="AF19" s="36"/>
    </row>
    <row r="20" spans="2:32" s="32" customFormat="1" x14ac:dyDescent="0.3">
      <c r="B20" s="36"/>
      <c r="C20" s="36"/>
      <c r="D20" s="434"/>
      <c r="E20" s="33"/>
      <c r="F20" s="34"/>
      <c r="G20" s="34"/>
      <c r="H20" s="34"/>
      <c r="I20" s="34"/>
      <c r="J20" s="36"/>
      <c r="K20" s="374" t="s">
        <v>295</v>
      </c>
      <c r="L20" s="375" t="s">
        <v>291</v>
      </c>
      <c r="M20" s="384" t="s">
        <v>296</v>
      </c>
      <c r="N20" s="107"/>
      <c r="O20" s="107"/>
      <c r="P20" s="53"/>
      <c r="Q20" s="107"/>
      <c r="R20" s="37"/>
      <c r="S20" s="107"/>
      <c r="T20" s="37"/>
      <c r="U20" s="107"/>
      <c r="V20" s="37"/>
      <c r="W20" s="107"/>
      <c r="X20" s="37"/>
      <c r="Y20" s="107"/>
      <c r="Z20" s="37"/>
      <c r="AA20" s="52"/>
      <c r="AB20" s="53"/>
      <c r="AC20" s="50"/>
      <c r="AD20" s="51"/>
      <c r="AE20" s="52"/>
      <c r="AF20" s="36"/>
    </row>
    <row r="21" spans="2:32" s="32" customFormat="1" x14ac:dyDescent="0.3">
      <c r="B21" s="92"/>
      <c r="C21" s="92"/>
      <c r="D21" s="439"/>
      <c r="E21" s="91"/>
      <c r="F21" s="376"/>
      <c r="G21" s="376"/>
      <c r="H21" s="376"/>
      <c r="I21" s="376"/>
      <c r="J21" s="92"/>
      <c r="K21" s="377" t="s">
        <v>297</v>
      </c>
      <c r="L21" s="378" t="s">
        <v>291</v>
      </c>
      <c r="M21" s="385" t="s">
        <v>298</v>
      </c>
      <c r="N21" s="379"/>
      <c r="O21" s="379"/>
      <c r="P21" s="381"/>
      <c r="Q21" s="379"/>
      <c r="R21" s="101"/>
      <c r="S21" s="379"/>
      <c r="T21" s="101"/>
      <c r="U21" s="379"/>
      <c r="V21" s="101"/>
      <c r="W21" s="379"/>
      <c r="X21" s="101"/>
      <c r="Y21" s="379"/>
      <c r="Z21" s="101"/>
      <c r="AA21" s="95"/>
      <c r="AB21" s="381"/>
      <c r="AC21" s="93"/>
      <c r="AD21" s="94"/>
      <c r="AE21" s="95"/>
      <c r="AF21" s="92"/>
    </row>
    <row r="22" spans="2:32" s="32" customFormat="1" ht="15" x14ac:dyDescent="0.25">
      <c r="B22" s="36"/>
      <c r="C22" s="36"/>
      <c r="D22" s="434"/>
      <c r="E22" s="33"/>
      <c r="F22" s="34"/>
      <c r="G22" s="34"/>
      <c r="H22" s="34"/>
      <c r="I22" s="34"/>
      <c r="J22" s="36"/>
      <c r="K22" s="46"/>
      <c r="L22" s="46"/>
      <c r="M22" s="362"/>
      <c r="N22" s="107"/>
      <c r="O22" s="107"/>
      <c r="P22" s="53"/>
      <c r="Q22" s="107"/>
      <c r="R22" s="37"/>
      <c r="S22" s="107"/>
      <c r="T22" s="37"/>
      <c r="U22" s="107"/>
      <c r="V22" s="37"/>
      <c r="W22" s="107"/>
      <c r="X22" s="37"/>
      <c r="Y22" s="107"/>
      <c r="Z22" s="37"/>
      <c r="AA22" s="52"/>
      <c r="AB22" s="53"/>
      <c r="AC22" s="50"/>
      <c r="AD22" s="51"/>
      <c r="AE22" s="52"/>
      <c r="AF22" s="36"/>
    </row>
    <row r="23" spans="2:32" s="32" customFormat="1" ht="28.5" x14ac:dyDescent="0.25">
      <c r="B23" s="36"/>
      <c r="C23" s="36"/>
      <c r="D23" s="434"/>
      <c r="E23" s="33">
        <v>1</v>
      </c>
      <c r="F23" s="34">
        <v>1</v>
      </c>
      <c r="G23" s="34">
        <v>1</v>
      </c>
      <c r="H23" s="34">
        <v>1</v>
      </c>
      <c r="I23" s="34">
        <v>2</v>
      </c>
      <c r="J23" s="36" t="s">
        <v>68</v>
      </c>
      <c r="K23" s="374" t="s">
        <v>290</v>
      </c>
      <c r="L23" s="375" t="s">
        <v>291</v>
      </c>
      <c r="M23" s="375" t="s">
        <v>292</v>
      </c>
      <c r="N23" s="36" t="s">
        <v>301</v>
      </c>
      <c r="O23" s="36" t="s">
        <v>301</v>
      </c>
      <c r="P23" s="53">
        <v>2408484874</v>
      </c>
      <c r="Q23" s="36" t="s">
        <v>301</v>
      </c>
      <c r="R23" s="47">
        <f>P23+(P23*3%)-38763210</f>
        <v>2441976210.2199998</v>
      </c>
      <c r="S23" s="36" t="s">
        <v>301</v>
      </c>
      <c r="T23" s="47">
        <f>R23+(R23*10%)</f>
        <v>2686173831.2419996</v>
      </c>
      <c r="U23" s="36" t="s">
        <v>301</v>
      </c>
      <c r="V23" s="47">
        <f>T23+(T23*10%)</f>
        <v>2954791214.3661995</v>
      </c>
      <c r="W23" s="36" t="s">
        <v>301</v>
      </c>
      <c r="X23" s="47">
        <f>V23+(V23*10%)</f>
        <v>3250270335.8028193</v>
      </c>
      <c r="Y23" s="36" t="s">
        <v>301</v>
      </c>
      <c r="Z23" s="431">
        <f>X23+V23+T23+R23+P23</f>
        <v>13741696465.631018</v>
      </c>
      <c r="AA23" s="52" t="str">
        <f>AA17</f>
        <v>Dinas Dikpora</v>
      </c>
      <c r="AB23" s="53">
        <v>1500000</v>
      </c>
      <c r="AC23" s="50">
        <f>AB23+(AB23*5%)</f>
        <v>1575000</v>
      </c>
      <c r="AD23" s="51" t="str">
        <f>AD17</f>
        <v>Dinas Dikpora</v>
      </c>
      <c r="AE23" s="52" t="s">
        <v>67</v>
      </c>
      <c r="AF23" s="36" t="s">
        <v>65</v>
      </c>
    </row>
    <row r="24" spans="2:32" s="32" customFormat="1" ht="71.25" x14ac:dyDescent="0.25">
      <c r="B24" s="36"/>
      <c r="C24" s="36"/>
      <c r="D24" s="434"/>
      <c r="E24" s="33"/>
      <c r="F24" s="34"/>
      <c r="G24" s="34"/>
      <c r="H24" s="34"/>
      <c r="I24" s="34"/>
      <c r="J24" s="36"/>
      <c r="K24" s="374" t="s">
        <v>293</v>
      </c>
      <c r="L24" s="375" t="s">
        <v>291</v>
      </c>
      <c r="M24" s="362" t="s">
        <v>963</v>
      </c>
      <c r="N24" s="36" t="s">
        <v>1079</v>
      </c>
      <c r="O24" s="36" t="s">
        <v>1079</v>
      </c>
      <c r="P24" s="53"/>
      <c r="Q24" s="36" t="s">
        <v>1079</v>
      </c>
      <c r="R24" s="37"/>
      <c r="S24" s="36" t="s">
        <v>1079</v>
      </c>
      <c r="T24" s="37"/>
      <c r="U24" s="36" t="s">
        <v>1079</v>
      </c>
      <c r="V24" s="37"/>
      <c r="W24" s="36" t="s">
        <v>1079</v>
      </c>
      <c r="X24" s="37"/>
      <c r="Y24" s="36" t="s">
        <v>1079</v>
      </c>
      <c r="Z24" s="37"/>
      <c r="AA24" s="52"/>
      <c r="AB24" s="53"/>
      <c r="AC24" s="50"/>
      <c r="AD24" s="51"/>
      <c r="AE24" s="52"/>
      <c r="AF24" s="36"/>
    </row>
    <row r="25" spans="2:32" s="32" customFormat="1" ht="15" x14ac:dyDescent="0.25">
      <c r="B25" s="36"/>
      <c r="C25" s="36"/>
      <c r="D25" s="434"/>
      <c r="E25" s="33"/>
      <c r="F25" s="34"/>
      <c r="G25" s="34"/>
      <c r="H25" s="34"/>
      <c r="I25" s="34"/>
      <c r="J25" s="36"/>
      <c r="K25" s="374" t="s">
        <v>294</v>
      </c>
      <c r="L25" s="375" t="s">
        <v>291</v>
      </c>
      <c r="M25" s="362" t="s">
        <v>995</v>
      </c>
      <c r="N25" s="41">
        <v>1</v>
      </c>
      <c r="O25" s="41">
        <v>1</v>
      </c>
      <c r="P25" s="53"/>
      <c r="Q25" s="41">
        <v>1</v>
      </c>
      <c r="R25" s="37"/>
      <c r="S25" s="41">
        <v>1</v>
      </c>
      <c r="T25" s="37"/>
      <c r="U25" s="41">
        <v>1</v>
      </c>
      <c r="V25" s="37"/>
      <c r="W25" s="41">
        <v>1</v>
      </c>
      <c r="X25" s="37"/>
      <c r="Y25" s="41">
        <v>1</v>
      </c>
      <c r="Z25" s="37"/>
      <c r="AA25" s="52"/>
      <c r="AB25" s="53"/>
      <c r="AC25" s="50"/>
      <c r="AD25" s="51"/>
      <c r="AE25" s="52"/>
      <c r="AF25" s="36"/>
    </row>
    <row r="26" spans="2:32" s="32" customFormat="1" x14ac:dyDescent="0.3">
      <c r="B26" s="36"/>
      <c r="C26" s="36"/>
      <c r="D26" s="434"/>
      <c r="E26" s="33"/>
      <c r="F26" s="34"/>
      <c r="G26" s="34"/>
      <c r="H26" s="34"/>
      <c r="I26" s="34"/>
      <c r="J26" s="36"/>
      <c r="K26" s="374" t="s">
        <v>295</v>
      </c>
      <c r="L26" s="375" t="s">
        <v>291</v>
      </c>
      <c r="M26" s="384" t="s">
        <v>296</v>
      </c>
      <c r="N26" s="36"/>
      <c r="O26" s="36"/>
      <c r="P26" s="53"/>
      <c r="Q26" s="36"/>
      <c r="R26" s="37"/>
      <c r="S26" s="36"/>
      <c r="T26" s="37"/>
      <c r="U26" s="36"/>
      <c r="V26" s="37"/>
      <c r="W26" s="36"/>
      <c r="X26" s="37"/>
      <c r="Y26" s="36"/>
      <c r="Z26" s="37"/>
      <c r="AA26" s="52"/>
      <c r="AB26" s="53"/>
      <c r="AC26" s="50"/>
      <c r="AD26" s="51"/>
      <c r="AE26" s="52"/>
      <c r="AF26" s="36"/>
    </row>
    <row r="27" spans="2:32" s="32" customFormat="1" x14ac:dyDescent="0.3">
      <c r="B27" s="92"/>
      <c r="C27" s="92"/>
      <c r="D27" s="439"/>
      <c r="E27" s="91"/>
      <c r="F27" s="376"/>
      <c r="G27" s="376"/>
      <c r="H27" s="376"/>
      <c r="I27" s="376"/>
      <c r="J27" s="92"/>
      <c r="K27" s="377" t="s">
        <v>297</v>
      </c>
      <c r="L27" s="378" t="s">
        <v>291</v>
      </c>
      <c r="M27" s="385" t="s">
        <v>298</v>
      </c>
      <c r="N27" s="92"/>
      <c r="O27" s="92"/>
      <c r="P27" s="381"/>
      <c r="Q27" s="92"/>
      <c r="R27" s="101"/>
      <c r="S27" s="92"/>
      <c r="T27" s="101"/>
      <c r="U27" s="92"/>
      <c r="V27" s="101"/>
      <c r="W27" s="92"/>
      <c r="X27" s="101"/>
      <c r="Y27" s="92"/>
      <c r="Z27" s="101"/>
      <c r="AA27" s="95"/>
      <c r="AB27" s="381"/>
      <c r="AC27" s="93"/>
      <c r="AD27" s="94"/>
      <c r="AE27" s="95"/>
      <c r="AF27" s="92"/>
    </row>
    <row r="28" spans="2:32" s="32" customFormat="1" ht="15" x14ac:dyDescent="0.25">
      <c r="B28" s="36"/>
      <c r="C28" s="36"/>
      <c r="D28" s="434"/>
      <c r="E28" s="33"/>
      <c r="F28" s="34"/>
      <c r="G28" s="34"/>
      <c r="H28" s="34"/>
      <c r="I28" s="34"/>
      <c r="J28" s="36"/>
      <c r="K28" s="46"/>
      <c r="L28" s="46"/>
      <c r="M28" s="362"/>
      <c r="N28" s="36"/>
      <c r="O28" s="36"/>
      <c r="P28" s="53"/>
      <c r="Q28" s="36"/>
      <c r="R28" s="37"/>
      <c r="S28" s="36"/>
      <c r="T28" s="37"/>
      <c r="U28" s="36"/>
      <c r="V28" s="37"/>
      <c r="W28" s="36"/>
      <c r="X28" s="37"/>
      <c r="Y28" s="36"/>
      <c r="Z28" s="37"/>
      <c r="AA28" s="52"/>
      <c r="AB28" s="53"/>
      <c r="AC28" s="50"/>
      <c r="AD28" s="51"/>
      <c r="AE28" s="52"/>
      <c r="AF28" s="36"/>
    </row>
    <row r="29" spans="2:32" s="32" customFormat="1" ht="28.5" x14ac:dyDescent="0.25">
      <c r="B29" s="36"/>
      <c r="C29" s="36"/>
      <c r="D29" s="434"/>
      <c r="E29" s="33">
        <v>1</v>
      </c>
      <c r="F29" s="34">
        <v>1</v>
      </c>
      <c r="G29" s="34">
        <v>1</v>
      </c>
      <c r="H29" s="34">
        <v>1</v>
      </c>
      <c r="I29" s="34">
        <v>3</v>
      </c>
      <c r="J29" s="36" t="s">
        <v>69</v>
      </c>
      <c r="K29" s="374" t="s">
        <v>290</v>
      </c>
      <c r="L29" s="375" t="s">
        <v>291</v>
      </c>
      <c r="M29" s="375" t="s">
        <v>292</v>
      </c>
      <c r="N29" s="36" t="s">
        <v>301</v>
      </c>
      <c r="O29" s="36" t="s">
        <v>301</v>
      </c>
      <c r="P29" s="53">
        <v>70700000</v>
      </c>
      <c r="Q29" s="36" t="s">
        <v>301</v>
      </c>
      <c r="R29" s="47">
        <f>P29+(P29*3%)</f>
        <v>72821000</v>
      </c>
      <c r="S29" s="36" t="s">
        <v>301</v>
      </c>
      <c r="T29" s="47">
        <f>R29+(R29*10%)</f>
        <v>80103100</v>
      </c>
      <c r="U29" s="36" t="s">
        <v>301</v>
      </c>
      <c r="V29" s="47">
        <f>T29+(T29*10%)</f>
        <v>88113410</v>
      </c>
      <c r="W29" s="36" t="s">
        <v>301</v>
      </c>
      <c r="X29" s="47">
        <f>V29+(V29*10%)</f>
        <v>96924751</v>
      </c>
      <c r="Y29" s="36" t="s">
        <v>301</v>
      </c>
      <c r="Z29" s="431">
        <f>X29+V29+T29+R29+P29</f>
        <v>408662261</v>
      </c>
      <c r="AA29" s="52" t="str">
        <f>AA23</f>
        <v>Dinas Dikpora</v>
      </c>
      <c r="AB29" s="53">
        <f>(10+12+20+18)*500</f>
        <v>30000</v>
      </c>
      <c r="AC29" s="50">
        <f>AB29+(AB29*5%)</f>
        <v>31500</v>
      </c>
      <c r="AD29" s="51" t="str">
        <f>AD23</f>
        <v>Dinas Dikpora</v>
      </c>
      <c r="AE29" s="52" t="s">
        <v>67</v>
      </c>
      <c r="AF29" s="36" t="s">
        <v>70</v>
      </c>
    </row>
    <row r="30" spans="2:32" s="32" customFormat="1" ht="114" x14ac:dyDescent="0.25">
      <c r="B30" s="36"/>
      <c r="C30" s="36"/>
      <c r="D30" s="434"/>
      <c r="E30" s="33"/>
      <c r="F30" s="34"/>
      <c r="G30" s="34"/>
      <c r="H30" s="34"/>
      <c r="I30" s="34"/>
      <c r="J30" s="36"/>
      <c r="K30" s="374" t="s">
        <v>293</v>
      </c>
      <c r="L30" s="375" t="s">
        <v>291</v>
      </c>
      <c r="M30" s="362" t="s">
        <v>965</v>
      </c>
      <c r="N30" s="36" t="s">
        <v>1080</v>
      </c>
      <c r="O30" s="36" t="s">
        <v>1080</v>
      </c>
      <c r="P30" s="53"/>
      <c r="Q30" s="36" t="s">
        <v>1080</v>
      </c>
      <c r="R30" s="37"/>
      <c r="S30" s="36" t="s">
        <v>1080</v>
      </c>
      <c r="T30" s="37"/>
      <c r="U30" s="36" t="s">
        <v>1080</v>
      </c>
      <c r="V30" s="37"/>
      <c r="W30" s="36" t="s">
        <v>1080</v>
      </c>
      <c r="X30" s="37"/>
      <c r="Y30" s="36" t="s">
        <v>1080</v>
      </c>
      <c r="Z30" s="37"/>
      <c r="AA30" s="52"/>
      <c r="AB30" s="53"/>
      <c r="AC30" s="50"/>
      <c r="AD30" s="51"/>
      <c r="AE30" s="52"/>
      <c r="AF30" s="36"/>
    </row>
    <row r="31" spans="2:32" s="32" customFormat="1" ht="15" x14ac:dyDescent="0.25">
      <c r="B31" s="36"/>
      <c r="C31" s="36"/>
      <c r="D31" s="434"/>
      <c r="E31" s="33"/>
      <c r="F31" s="34"/>
      <c r="G31" s="34"/>
      <c r="H31" s="34"/>
      <c r="I31" s="34"/>
      <c r="J31" s="36"/>
      <c r="K31" s="374" t="s">
        <v>294</v>
      </c>
      <c r="L31" s="375" t="s">
        <v>291</v>
      </c>
      <c r="M31" s="362" t="s">
        <v>995</v>
      </c>
      <c r="N31" s="41">
        <v>1</v>
      </c>
      <c r="O31" s="41">
        <v>1</v>
      </c>
      <c r="P31" s="53"/>
      <c r="Q31" s="41">
        <v>1</v>
      </c>
      <c r="R31" s="37"/>
      <c r="S31" s="41">
        <v>1</v>
      </c>
      <c r="T31" s="37"/>
      <c r="U31" s="41">
        <v>1</v>
      </c>
      <c r="V31" s="37"/>
      <c r="W31" s="41">
        <v>1</v>
      </c>
      <c r="X31" s="37"/>
      <c r="Y31" s="41">
        <v>1</v>
      </c>
      <c r="Z31" s="37"/>
      <c r="AA31" s="52"/>
      <c r="AB31" s="53"/>
      <c r="AC31" s="50"/>
      <c r="AD31" s="51"/>
      <c r="AE31" s="52"/>
      <c r="AF31" s="36"/>
    </row>
    <row r="32" spans="2:32" s="32" customFormat="1" x14ac:dyDescent="0.3">
      <c r="B32" s="36"/>
      <c r="C32" s="36"/>
      <c r="D32" s="434"/>
      <c r="E32" s="33"/>
      <c r="F32" s="34"/>
      <c r="G32" s="34"/>
      <c r="H32" s="34"/>
      <c r="I32" s="34"/>
      <c r="J32" s="36"/>
      <c r="K32" s="374" t="s">
        <v>295</v>
      </c>
      <c r="L32" s="375" t="s">
        <v>291</v>
      </c>
      <c r="M32" s="384" t="s">
        <v>296</v>
      </c>
      <c r="N32" s="36"/>
      <c r="O32" s="36"/>
      <c r="P32" s="53"/>
      <c r="Q32" s="36"/>
      <c r="R32" s="37"/>
      <c r="S32" s="36"/>
      <c r="T32" s="37"/>
      <c r="U32" s="36"/>
      <c r="V32" s="37"/>
      <c r="W32" s="36"/>
      <c r="X32" s="37"/>
      <c r="Y32" s="36"/>
      <c r="Z32" s="37"/>
      <c r="AA32" s="52"/>
      <c r="AB32" s="53"/>
      <c r="AC32" s="50"/>
      <c r="AD32" s="51"/>
      <c r="AE32" s="52"/>
      <c r="AF32" s="36"/>
    </row>
    <row r="33" spans="2:32" s="32" customFormat="1" x14ac:dyDescent="0.3">
      <c r="B33" s="92"/>
      <c r="C33" s="92"/>
      <c r="D33" s="439"/>
      <c r="E33" s="91"/>
      <c r="F33" s="376"/>
      <c r="G33" s="376"/>
      <c r="H33" s="376"/>
      <c r="I33" s="376"/>
      <c r="J33" s="92"/>
      <c r="K33" s="377" t="s">
        <v>297</v>
      </c>
      <c r="L33" s="378" t="s">
        <v>291</v>
      </c>
      <c r="M33" s="385" t="s">
        <v>298</v>
      </c>
      <c r="N33" s="92"/>
      <c r="O33" s="92"/>
      <c r="P33" s="381"/>
      <c r="Q33" s="92"/>
      <c r="R33" s="101"/>
      <c r="S33" s="92"/>
      <c r="T33" s="101"/>
      <c r="U33" s="92"/>
      <c r="V33" s="101"/>
      <c r="W33" s="92"/>
      <c r="X33" s="101"/>
      <c r="Y33" s="92"/>
      <c r="Z33" s="101"/>
      <c r="AA33" s="95"/>
      <c r="AB33" s="381"/>
      <c r="AC33" s="93"/>
      <c r="AD33" s="94"/>
      <c r="AE33" s="95"/>
      <c r="AF33" s="92"/>
    </row>
    <row r="34" spans="2:32" s="32" customFormat="1" ht="15" x14ac:dyDescent="0.25">
      <c r="B34" s="36"/>
      <c r="C34" s="36"/>
      <c r="D34" s="434"/>
      <c r="E34" s="33"/>
      <c r="F34" s="34"/>
      <c r="G34" s="34"/>
      <c r="H34" s="34"/>
      <c r="I34" s="34"/>
      <c r="J34" s="36"/>
      <c r="K34" s="46"/>
      <c r="L34" s="46"/>
      <c r="M34" s="362"/>
      <c r="N34" s="36"/>
      <c r="O34" s="36"/>
      <c r="P34" s="53"/>
      <c r="Q34" s="36"/>
      <c r="R34" s="37"/>
      <c r="S34" s="36"/>
      <c r="T34" s="37"/>
      <c r="U34" s="36"/>
      <c r="V34" s="37"/>
      <c r="W34" s="36"/>
      <c r="X34" s="37"/>
      <c r="Y34" s="36"/>
      <c r="Z34" s="37"/>
      <c r="AA34" s="52"/>
      <c r="AB34" s="53"/>
      <c r="AC34" s="50"/>
      <c r="AD34" s="51"/>
      <c r="AE34" s="52"/>
      <c r="AF34" s="36"/>
    </row>
    <row r="35" spans="2:32" s="32" customFormat="1" ht="28.5" x14ac:dyDescent="0.25">
      <c r="B35" s="36"/>
      <c r="C35" s="36"/>
      <c r="D35" s="434"/>
      <c r="E35" s="33">
        <v>1</v>
      </c>
      <c r="F35" s="34">
        <v>1</v>
      </c>
      <c r="G35" s="34">
        <v>1</v>
      </c>
      <c r="H35" s="34">
        <v>1</v>
      </c>
      <c r="I35" s="34">
        <v>4</v>
      </c>
      <c r="J35" s="36" t="s">
        <v>71</v>
      </c>
      <c r="K35" s="374" t="s">
        <v>290</v>
      </c>
      <c r="L35" s="375" t="s">
        <v>291</v>
      </c>
      <c r="M35" s="375" t="s">
        <v>292</v>
      </c>
      <c r="N35" s="36" t="s">
        <v>301</v>
      </c>
      <c r="O35" s="36" t="s">
        <v>301</v>
      </c>
      <c r="P35" s="53">
        <v>25667000</v>
      </c>
      <c r="Q35" s="36" t="s">
        <v>301</v>
      </c>
      <c r="R35" s="47">
        <f>P35+(P35*3%)</f>
        <v>26437010</v>
      </c>
      <c r="S35" s="36" t="s">
        <v>301</v>
      </c>
      <c r="T35" s="47">
        <f>R35+(R35*10%)</f>
        <v>29080711</v>
      </c>
      <c r="U35" s="36" t="s">
        <v>301</v>
      </c>
      <c r="V35" s="47">
        <f>T35+(T35*10%)</f>
        <v>31988782.100000001</v>
      </c>
      <c r="W35" s="36" t="s">
        <v>301</v>
      </c>
      <c r="X35" s="47">
        <f>V35+(V35*10%)</f>
        <v>35187660.310000002</v>
      </c>
      <c r="Y35" s="36" t="s">
        <v>301</v>
      </c>
      <c r="Z35" s="431">
        <f>X35+V35+T35+R35+P35</f>
        <v>148361163.41</v>
      </c>
      <c r="AA35" s="52" t="str">
        <f>AA29</f>
        <v>Dinas Dikpora</v>
      </c>
      <c r="AB35" s="53">
        <v>18500</v>
      </c>
      <c r="AC35" s="50">
        <f>AB35+(AB35*5%)</f>
        <v>19425</v>
      </c>
      <c r="AD35" s="51" t="str">
        <f>AD29</f>
        <v>Dinas Dikpora</v>
      </c>
      <c r="AE35" s="52" t="s">
        <v>67</v>
      </c>
      <c r="AF35" s="36" t="s">
        <v>72</v>
      </c>
    </row>
    <row r="36" spans="2:32" s="32" customFormat="1" ht="42.75" x14ac:dyDescent="0.3">
      <c r="B36" s="36"/>
      <c r="C36" s="36"/>
      <c r="D36" s="434"/>
      <c r="E36" s="33"/>
      <c r="F36" s="34"/>
      <c r="G36" s="34"/>
      <c r="H36" s="34"/>
      <c r="I36" s="34"/>
      <c r="J36" s="36"/>
      <c r="K36" s="374" t="s">
        <v>293</v>
      </c>
      <c r="L36" s="375" t="s">
        <v>291</v>
      </c>
      <c r="M36" s="362" t="s">
        <v>967</v>
      </c>
      <c r="N36" s="36" t="s">
        <v>1081</v>
      </c>
      <c r="O36" s="36" t="s">
        <v>1081</v>
      </c>
      <c r="P36" s="54"/>
      <c r="Q36" s="36" t="s">
        <v>1081</v>
      </c>
      <c r="R36" s="37"/>
      <c r="S36" s="36" t="s">
        <v>1081</v>
      </c>
      <c r="T36" s="37"/>
      <c r="U36" s="36" t="s">
        <v>1081</v>
      </c>
      <c r="V36" s="37"/>
      <c r="W36" s="36" t="s">
        <v>1081</v>
      </c>
      <c r="X36" s="37"/>
      <c r="Y36" s="36" t="s">
        <v>1081</v>
      </c>
      <c r="Z36" s="37"/>
      <c r="AA36" s="57"/>
      <c r="AB36" s="54"/>
      <c r="AC36" s="55"/>
      <c r="AD36" s="56"/>
      <c r="AE36" s="57"/>
      <c r="AF36" s="36"/>
    </row>
    <row r="37" spans="2:32" s="32" customFormat="1" ht="28.5" x14ac:dyDescent="0.3">
      <c r="B37" s="36"/>
      <c r="C37" s="36"/>
      <c r="D37" s="434"/>
      <c r="E37" s="33"/>
      <c r="F37" s="34"/>
      <c r="G37" s="34"/>
      <c r="H37" s="34"/>
      <c r="I37" s="34"/>
      <c r="J37" s="36"/>
      <c r="K37" s="374" t="s">
        <v>294</v>
      </c>
      <c r="L37" s="375" t="s">
        <v>291</v>
      </c>
      <c r="M37" s="362" t="s">
        <v>996</v>
      </c>
      <c r="N37" s="41">
        <v>1</v>
      </c>
      <c r="O37" s="41">
        <v>1</v>
      </c>
      <c r="P37" s="54"/>
      <c r="Q37" s="41">
        <v>1</v>
      </c>
      <c r="R37" s="37"/>
      <c r="S37" s="41">
        <v>1</v>
      </c>
      <c r="T37" s="37"/>
      <c r="U37" s="41">
        <v>1</v>
      </c>
      <c r="V37" s="37"/>
      <c r="W37" s="41">
        <v>1</v>
      </c>
      <c r="X37" s="37"/>
      <c r="Y37" s="41">
        <v>1</v>
      </c>
      <c r="Z37" s="37"/>
      <c r="AA37" s="57"/>
      <c r="AB37" s="54"/>
      <c r="AC37" s="55"/>
      <c r="AD37" s="56"/>
      <c r="AE37" s="57"/>
      <c r="AF37" s="36"/>
    </row>
    <row r="38" spans="2:32" s="32" customFormat="1" ht="28.5" x14ac:dyDescent="0.3">
      <c r="B38" s="36"/>
      <c r="C38" s="36"/>
      <c r="D38" s="434"/>
      <c r="E38" s="33"/>
      <c r="F38" s="34"/>
      <c r="G38" s="34"/>
      <c r="H38" s="34"/>
      <c r="I38" s="34"/>
      <c r="J38" s="36"/>
      <c r="K38" s="374" t="s">
        <v>295</v>
      </c>
      <c r="L38" s="375" t="s">
        <v>291</v>
      </c>
      <c r="M38" s="362" t="s">
        <v>1388</v>
      </c>
      <c r="N38" s="36"/>
      <c r="O38" s="36"/>
      <c r="P38" s="54"/>
      <c r="Q38" s="36"/>
      <c r="R38" s="37"/>
      <c r="S38" s="36"/>
      <c r="T38" s="37"/>
      <c r="U38" s="36"/>
      <c r="V38" s="37"/>
      <c r="W38" s="36"/>
      <c r="X38" s="37"/>
      <c r="Y38" s="36"/>
      <c r="Z38" s="37"/>
      <c r="AA38" s="57"/>
      <c r="AB38" s="54"/>
      <c r="AC38" s="55"/>
      <c r="AD38" s="56"/>
      <c r="AE38" s="57"/>
      <c r="AF38" s="36"/>
    </row>
    <row r="39" spans="2:32" s="32" customFormat="1" x14ac:dyDescent="0.3">
      <c r="B39" s="92"/>
      <c r="C39" s="92"/>
      <c r="D39" s="439"/>
      <c r="E39" s="91"/>
      <c r="F39" s="376"/>
      <c r="G39" s="376"/>
      <c r="H39" s="376"/>
      <c r="I39" s="376"/>
      <c r="J39" s="92"/>
      <c r="K39" s="377" t="s">
        <v>297</v>
      </c>
      <c r="L39" s="378" t="s">
        <v>291</v>
      </c>
      <c r="M39" s="386" t="s">
        <v>1387</v>
      </c>
      <c r="N39" s="92"/>
      <c r="O39" s="92"/>
      <c r="P39" s="387"/>
      <c r="Q39" s="92"/>
      <c r="R39" s="101"/>
      <c r="S39" s="92"/>
      <c r="T39" s="101"/>
      <c r="U39" s="92"/>
      <c r="V39" s="101"/>
      <c r="W39" s="92"/>
      <c r="X39" s="101"/>
      <c r="Y39" s="92"/>
      <c r="Z39" s="101"/>
      <c r="AA39" s="388"/>
      <c r="AB39" s="387"/>
      <c r="AC39" s="389"/>
      <c r="AD39" s="390"/>
      <c r="AE39" s="388"/>
      <c r="AF39" s="92"/>
    </row>
    <row r="40" spans="2:32" s="32" customFormat="1" x14ac:dyDescent="0.3">
      <c r="B40" s="36"/>
      <c r="C40" s="36"/>
      <c r="D40" s="434"/>
      <c r="E40" s="33"/>
      <c r="F40" s="34"/>
      <c r="G40" s="34"/>
      <c r="H40" s="34"/>
      <c r="I40" s="34"/>
      <c r="J40" s="36"/>
      <c r="K40" s="46"/>
      <c r="L40" s="46"/>
      <c r="M40" s="362"/>
      <c r="N40" s="36"/>
      <c r="O40" s="36"/>
      <c r="P40" s="54"/>
      <c r="Q40" s="36"/>
      <c r="R40" s="37"/>
      <c r="S40" s="36"/>
      <c r="T40" s="37"/>
      <c r="U40" s="36"/>
      <c r="V40" s="37"/>
      <c r="W40" s="36"/>
      <c r="X40" s="37"/>
      <c r="Y40" s="36"/>
      <c r="Z40" s="37"/>
      <c r="AA40" s="57"/>
      <c r="AB40" s="54"/>
      <c r="AC40" s="55"/>
      <c r="AD40" s="56"/>
      <c r="AE40" s="57"/>
      <c r="AF40" s="36"/>
    </row>
    <row r="41" spans="2:32" s="32" customFormat="1" ht="28.5" x14ac:dyDescent="0.25">
      <c r="B41" s="36"/>
      <c r="C41" s="36"/>
      <c r="D41" s="434"/>
      <c r="E41" s="33">
        <v>1</v>
      </c>
      <c r="F41" s="34">
        <v>1</v>
      </c>
      <c r="G41" s="34">
        <v>1</v>
      </c>
      <c r="H41" s="34">
        <v>1</v>
      </c>
      <c r="I41" s="34">
        <v>6</v>
      </c>
      <c r="J41" s="36" t="s">
        <v>74</v>
      </c>
      <c r="K41" s="374" t="s">
        <v>290</v>
      </c>
      <c r="L41" s="375" t="s">
        <v>291</v>
      </c>
      <c r="M41" s="375" t="s">
        <v>292</v>
      </c>
      <c r="N41" s="36" t="s">
        <v>301</v>
      </c>
      <c r="O41" s="36" t="s">
        <v>301</v>
      </c>
      <c r="P41" s="53">
        <v>234804000</v>
      </c>
      <c r="Q41" s="36" t="s">
        <v>301</v>
      </c>
      <c r="R41" s="47">
        <f>P41+(P41*3%)</f>
        <v>241848120</v>
      </c>
      <c r="S41" s="36" t="s">
        <v>301</v>
      </c>
      <c r="T41" s="47">
        <f>R41+(R41*10%)</f>
        <v>266032932</v>
      </c>
      <c r="U41" s="36" t="s">
        <v>301</v>
      </c>
      <c r="V41" s="47">
        <f>T41+(T41*10%)</f>
        <v>292636225.19999999</v>
      </c>
      <c r="W41" s="36" t="s">
        <v>301</v>
      </c>
      <c r="X41" s="47">
        <f>V41+(V41*10%)</f>
        <v>321899847.71999997</v>
      </c>
      <c r="Y41" s="36" t="s">
        <v>301</v>
      </c>
      <c r="Z41" s="431">
        <f>X41+V41+T41+R41+P41</f>
        <v>1357221124.9200001</v>
      </c>
      <c r="AA41" s="52" t="str">
        <f>AA35</f>
        <v>Dinas Dikpora</v>
      </c>
      <c r="AB41" s="53">
        <v>657000</v>
      </c>
      <c r="AC41" s="50">
        <f>AB41</f>
        <v>657000</v>
      </c>
      <c r="AD41" s="51" t="str">
        <f>AD35</f>
        <v>Dinas Dikpora</v>
      </c>
      <c r="AE41" s="52" t="s">
        <v>67</v>
      </c>
      <c r="AF41" s="36" t="s">
        <v>75</v>
      </c>
    </row>
    <row r="42" spans="2:32" s="32" customFormat="1" x14ac:dyDescent="0.3">
      <c r="B42" s="36"/>
      <c r="C42" s="36"/>
      <c r="D42" s="434"/>
      <c r="E42" s="33"/>
      <c r="F42" s="34"/>
      <c r="G42" s="34"/>
      <c r="H42" s="34"/>
      <c r="I42" s="34"/>
      <c r="J42" s="36"/>
      <c r="K42" s="374" t="s">
        <v>293</v>
      </c>
      <c r="L42" s="375" t="s">
        <v>291</v>
      </c>
      <c r="M42" s="362" t="s">
        <v>1193</v>
      </c>
      <c r="N42" s="36" t="s">
        <v>573</v>
      </c>
      <c r="O42" s="36" t="s">
        <v>573</v>
      </c>
      <c r="P42" s="54"/>
      <c r="Q42" s="36" t="s">
        <v>573</v>
      </c>
      <c r="R42" s="37"/>
      <c r="S42" s="36" t="s">
        <v>573</v>
      </c>
      <c r="T42" s="37"/>
      <c r="U42" s="36" t="s">
        <v>573</v>
      </c>
      <c r="V42" s="37"/>
      <c r="W42" s="36" t="s">
        <v>573</v>
      </c>
      <c r="X42" s="37"/>
      <c r="Y42" s="36" t="s">
        <v>573</v>
      </c>
      <c r="Z42" s="37"/>
      <c r="AA42" s="57"/>
      <c r="AB42" s="54"/>
      <c r="AC42" s="55"/>
      <c r="AD42" s="56"/>
      <c r="AE42" s="57"/>
      <c r="AF42" s="36"/>
    </row>
    <row r="43" spans="2:32" s="32" customFormat="1" ht="28.5" x14ac:dyDescent="0.3">
      <c r="B43" s="36"/>
      <c r="C43" s="36"/>
      <c r="D43" s="434"/>
      <c r="E43" s="33"/>
      <c r="F43" s="34"/>
      <c r="G43" s="34"/>
      <c r="H43" s="34"/>
      <c r="I43" s="34"/>
      <c r="J43" s="36"/>
      <c r="K43" s="374" t="s">
        <v>294</v>
      </c>
      <c r="L43" s="375" t="s">
        <v>291</v>
      </c>
      <c r="M43" s="362" t="s">
        <v>997</v>
      </c>
      <c r="N43" s="41">
        <v>1</v>
      </c>
      <c r="O43" s="41">
        <v>1</v>
      </c>
      <c r="P43" s="54"/>
      <c r="Q43" s="41">
        <v>1</v>
      </c>
      <c r="R43" s="37"/>
      <c r="S43" s="41">
        <v>1</v>
      </c>
      <c r="T43" s="37"/>
      <c r="U43" s="41">
        <v>1</v>
      </c>
      <c r="V43" s="37"/>
      <c r="W43" s="41">
        <v>1</v>
      </c>
      <c r="X43" s="37"/>
      <c r="Y43" s="41">
        <v>1</v>
      </c>
      <c r="Z43" s="37"/>
      <c r="AA43" s="57"/>
      <c r="AB43" s="54"/>
      <c r="AC43" s="55"/>
      <c r="AD43" s="56"/>
      <c r="AE43" s="57"/>
      <c r="AF43" s="36"/>
    </row>
    <row r="44" spans="2:32" s="32" customFormat="1" x14ac:dyDescent="0.3">
      <c r="B44" s="36"/>
      <c r="C44" s="36"/>
      <c r="D44" s="434"/>
      <c r="E44" s="33"/>
      <c r="F44" s="34"/>
      <c r="G44" s="34"/>
      <c r="H44" s="34"/>
      <c r="I44" s="34"/>
      <c r="J44" s="36"/>
      <c r="K44" s="374" t="s">
        <v>295</v>
      </c>
      <c r="L44" s="375" t="s">
        <v>291</v>
      </c>
      <c r="M44" s="384" t="s">
        <v>296</v>
      </c>
      <c r="N44" s="36"/>
      <c r="O44" s="36"/>
      <c r="P44" s="54"/>
      <c r="Q44" s="36"/>
      <c r="R44" s="37"/>
      <c r="S44" s="36"/>
      <c r="T44" s="37"/>
      <c r="U44" s="36"/>
      <c r="V44" s="37"/>
      <c r="W44" s="36"/>
      <c r="X44" s="37"/>
      <c r="Y44" s="36"/>
      <c r="Z44" s="37"/>
      <c r="AA44" s="57"/>
      <c r="AB44" s="54"/>
      <c r="AC44" s="55"/>
      <c r="AD44" s="56"/>
      <c r="AE44" s="57"/>
      <c r="AF44" s="36"/>
    </row>
    <row r="45" spans="2:32" s="32" customFormat="1" x14ac:dyDescent="0.3">
      <c r="B45" s="92"/>
      <c r="C45" s="92"/>
      <c r="D45" s="439"/>
      <c r="E45" s="91"/>
      <c r="F45" s="376"/>
      <c r="G45" s="376"/>
      <c r="H45" s="376"/>
      <c r="I45" s="376"/>
      <c r="J45" s="92"/>
      <c r="K45" s="377" t="s">
        <v>297</v>
      </c>
      <c r="L45" s="378" t="s">
        <v>291</v>
      </c>
      <c r="M45" s="385" t="s">
        <v>298</v>
      </c>
      <c r="N45" s="92"/>
      <c r="O45" s="92"/>
      <c r="P45" s="387"/>
      <c r="Q45" s="92"/>
      <c r="R45" s="101"/>
      <c r="S45" s="92"/>
      <c r="T45" s="101"/>
      <c r="U45" s="92"/>
      <c r="V45" s="101"/>
      <c r="W45" s="92"/>
      <c r="X45" s="101"/>
      <c r="Y45" s="92"/>
      <c r="Z45" s="101"/>
      <c r="AA45" s="388"/>
      <c r="AB45" s="387"/>
      <c r="AC45" s="389"/>
      <c r="AD45" s="390"/>
      <c r="AE45" s="388"/>
      <c r="AF45" s="92"/>
    </row>
    <row r="46" spans="2:32" s="32" customFormat="1" x14ac:dyDescent="0.3">
      <c r="B46" s="36"/>
      <c r="C46" s="36"/>
      <c r="D46" s="434"/>
      <c r="E46" s="33"/>
      <c r="F46" s="34"/>
      <c r="G46" s="34"/>
      <c r="H46" s="34"/>
      <c r="I46" s="34"/>
      <c r="J46" s="36"/>
      <c r="K46" s="46"/>
      <c r="L46" s="46"/>
      <c r="M46" s="362"/>
      <c r="N46" s="36"/>
      <c r="O46" s="36"/>
      <c r="P46" s="54"/>
      <c r="Q46" s="36"/>
      <c r="R46" s="37"/>
      <c r="S46" s="36"/>
      <c r="T46" s="37"/>
      <c r="U46" s="36"/>
      <c r="V46" s="37"/>
      <c r="W46" s="36"/>
      <c r="X46" s="37"/>
      <c r="Y46" s="36"/>
      <c r="Z46" s="37"/>
      <c r="AA46" s="57"/>
      <c r="AB46" s="54"/>
      <c r="AC46" s="55"/>
      <c r="AD46" s="56"/>
      <c r="AE46" s="57"/>
      <c r="AF46" s="36"/>
    </row>
    <row r="47" spans="2:32" s="58" customFormat="1" ht="28.5" x14ac:dyDescent="0.25">
      <c r="B47" s="36"/>
      <c r="C47" s="36"/>
      <c r="D47" s="440"/>
      <c r="E47" s="33">
        <v>1</v>
      </c>
      <c r="F47" s="34">
        <v>1</v>
      </c>
      <c r="G47" s="34">
        <v>1</v>
      </c>
      <c r="H47" s="34">
        <v>1</v>
      </c>
      <c r="I47" s="34">
        <v>7</v>
      </c>
      <c r="J47" s="36" t="s">
        <v>76</v>
      </c>
      <c r="K47" s="374" t="s">
        <v>290</v>
      </c>
      <c r="L47" s="375" t="s">
        <v>291</v>
      </c>
      <c r="M47" s="375" t="s">
        <v>292</v>
      </c>
      <c r="N47" s="36" t="s">
        <v>301</v>
      </c>
      <c r="O47" s="36" t="s">
        <v>301</v>
      </c>
      <c r="P47" s="53">
        <v>498300900</v>
      </c>
      <c r="Q47" s="36" t="s">
        <v>301</v>
      </c>
      <c r="R47" s="47">
        <f>P47+(P47*3%)</f>
        <v>513249927</v>
      </c>
      <c r="S47" s="36" t="s">
        <v>301</v>
      </c>
      <c r="T47" s="47">
        <f>R47+(R47*10%)</f>
        <v>564574919.70000005</v>
      </c>
      <c r="U47" s="36" t="s">
        <v>301</v>
      </c>
      <c r="V47" s="47">
        <f>T47+(T47*10%)</f>
        <v>621032411.67000008</v>
      </c>
      <c r="W47" s="36" t="s">
        <v>301</v>
      </c>
      <c r="X47" s="47">
        <f>V47+(V47*10%)</f>
        <v>683135652.83700013</v>
      </c>
      <c r="Y47" s="36" t="s">
        <v>301</v>
      </c>
      <c r="Z47" s="431">
        <f>X47+V47+T47+R47+P47</f>
        <v>2880293811.2070003</v>
      </c>
      <c r="AA47" s="52" t="str">
        <f>AA41</f>
        <v>Dinas Dikpora</v>
      </c>
      <c r="AB47" s="53">
        <v>144000</v>
      </c>
      <c r="AC47" s="50">
        <f>AB47+(AB47*5%)</f>
        <v>151200</v>
      </c>
      <c r="AD47" s="51" t="str">
        <f>AD41</f>
        <v>Dinas Dikpora</v>
      </c>
      <c r="AE47" s="52" t="s">
        <v>67</v>
      </c>
      <c r="AF47" s="36" t="s">
        <v>75</v>
      </c>
    </row>
    <row r="48" spans="2:32" s="58" customFormat="1" ht="185.25" x14ac:dyDescent="0.3">
      <c r="B48" s="36"/>
      <c r="C48" s="36"/>
      <c r="D48" s="440"/>
      <c r="E48" s="33"/>
      <c r="F48" s="34"/>
      <c r="G48" s="34"/>
      <c r="H48" s="34"/>
      <c r="I48" s="34"/>
      <c r="J48" s="36"/>
      <c r="K48" s="374" t="s">
        <v>293</v>
      </c>
      <c r="L48" s="375" t="s">
        <v>291</v>
      </c>
      <c r="M48" s="362" t="s">
        <v>971</v>
      </c>
      <c r="N48" s="36" t="s">
        <v>1082</v>
      </c>
      <c r="O48" s="36" t="s">
        <v>1082</v>
      </c>
      <c r="P48" s="54"/>
      <c r="Q48" s="36" t="s">
        <v>1082</v>
      </c>
      <c r="R48" s="37"/>
      <c r="S48" s="36" t="s">
        <v>1082</v>
      </c>
      <c r="T48" s="37"/>
      <c r="U48" s="36" t="s">
        <v>1082</v>
      </c>
      <c r="V48" s="37"/>
      <c r="W48" s="36" t="s">
        <v>1082</v>
      </c>
      <c r="X48" s="37"/>
      <c r="Y48" s="36" t="s">
        <v>1082</v>
      </c>
      <c r="Z48" s="37"/>
      <c r="AA48" s="57"/>
      <c r="AB48" s="54"/>
      <c r="AC48" s="55"/>
      <c r="AD48" s="56"/>
      <c r="AE48" s="57"/>
      <c r="AF48" s="36"/>
    </row>
    <row r="49" spans="2:32" s="58" customFormat="1" ht="28.5" x14ac:dyDescent="0.3">
      <c r="B49" s="36"/>
      <c r="C49" s="36"/>
      <c r="D49" s="440"/>
      <c r="E49" s="33"/>
      <c r="F49" s="34"/>
      <c r="G49" s="34"/>
      <c r="H49" s="34"/>
      <c r="I49" s="34"/>
      <c r="J49" s="36"/>
      <c r="K49" s="374" t="s">
        <v>294</v>
      </c>
      <c r="L49" s="375" t="s">
        <v>291</v>
      </c>
      <c r="M49" s="362" t="s">
        <v>998</v>
      </c>
      <c r="N49" s="41">
        <v>1</v>
      </c>
      <c r="O49" s="41">
        <v>1</v>
      </c>
      <c r="P49" s="54"/>
      <c r="Q49" s="41">
        <v>1</v>
      </c>
      <c r="R49" s="37"/>
      <c r="S49" s="41">
        <v>1</v>
      </c>
      <c r="T49" s="37"/>
      <c r="U49" s="41">
        <v>1</v>
      </c>
      <c r="V49" s="37"/>
      <c r="W49" s="41">
        <v>1</v>
      </c>
      <c r="X49" s="37"/>
      <c r="Y49" s="41">
        <v>1</v>
      </c>
      <c r="Z49" s="37"/>
      <c r="AA49" s="57"/>
      <c r="AB49" s="54"/>
      <c r="AC49" s="55"/>
      <c r="AD49" s="56"/>
      <c r="AE49" s="57"/>
      <c r="AF49" s="36"/>
    </row>
    <row r="50" spans="2:32" s="58" customFormat="1" x14ac:dyDescent="0.3">
      <c r="B50" s="36"/>
      <c r="C50" s="36"/>
      <c r="D50" s="440"/>
      <c r="E50" s="33"/>
      <c r="F50" s="34"/>
      <c r="G50" s="34"/>
      <c r="H50" s="34"/>
      <c r="I50" s="34"/>
      <c r="J50" s="36"/>
      <c r="K50" s="374" t="s">
        <v>295</v>
      </c>
      <c r="L50" s="375" t="s">
        <v>291</v>
      </c>
      <c r="M50" s="384" t="s">
        <v>296</v>
      </c>
      <c r="N50" s="36"/>
      <c r="O50" s="36"/>
      <c r="P50" s="54"/>
      <c r="Q50" s="36"/>
      <c r="R50" s="37"/>
      <c r="S50" s="36"/>
      <c r="T50" s="37"/>
      <c r="U50" s="36"/>
      <c r="V50" s="37"/>
      <c r="W50" s="36"/>
      <c r="X50" s="37"/>
      <c r="Y50" s="36"/>
      <c r="Z50" s="37"/>
      <c r="AA50" s="57"/>
      <c r="AB50" s="54"/>
      <c r="AC50" s="55"/>
      <c r="AD50" s="56"/>
      <c r="AE50" s="57"/>
      <c r="AF50" s="36"/>
    </row>
    <row r="51" spans="2:32" s="58" customFormat="1" x14ac:dyDescent="0.3">
      <c r="B51" s="92"/>
      <c r="C51" s="92"/>
      <c r="D51" s="437"/>
      <c r="E51" s="91"/>
      <c r="F51" s="376"/>
      <c r="G51" s="376"/>
      <c r="H51" s="376"/>
      <c r="I51" s="376"/>
      <c r="J51" s="92"/>
      <c r="K51" s="377" t="s">
        <v>297</v>
      </c>
      <c r="L51" s="378" t="s">
        <v>291</v>
      </c>
      <c r="M51" s="385" t="s">
        <v>298</v>
      </c>
      <c r="N51" s="92"/>
      <c r="O51" s="92"/>
      <c r="P51" s="387"/>
      <c r="Q51" s="92"/>
      <c r="R51" s="101"/>
      <c r="S51" s="92"/>
      <c r="T51" s="101"/>
      <c r="U51" s="92"/>
      <c r="V51" s="101"/>
      <c r="W51" s="92"/>
      <c r="X51" s="101"/>
      <c r="Y51" s="92"/>
      <c r="Z51" s="101"/>
      <c r="AA51" s="388"/>
      <c r="AB51" s="387"/>
      <c r="AC51" s="389"/>
      <c r="AD51" s="390"/>
      <c r="AE51" s="388"/>
      <c r="AF51" s="92"/>
    </row>
    <row r="52" spans="2:32" s="58" customFormat="1" x14ac:dyDescent="0.3">
      <c r="B52" s="36"/>
      <c r="C52" s="36"/>
      <c r="D52" s="440"/>
      <c r="E52" s="33"/>
      <c r="F52" s="34"/>
      <c r="G52" s="34"/>
      <c r="H52" s="34"/>
      <c r="I52" s="34"/>
      <c r="J52" s="36"/>
      <c r="K52" s="46"/>
      <c r="L52" s="46"/>
      <c r="M52" s="362"/>
      <c r="N52" s="36"/>
      <c r="O52" s="36"/>
      <c r="P52" s="54"/>
      <c r="Q52" s="36"/>
      <c r="R52" s="37"/>
      <c r="S52" s="36"/>
      <c r="T52" s="37"/>
      <c r="U52" s="36"/>
      <c r="V52" s="37"/>
      <c r="W52" s="36"/>
      <c r="X52" s="37"/>
      <c r="Y52" s="36"/>
      <c r="Z52" s="37"/>
      <c r="AA52" s="57"/>
      <c r="AB52" s="54"/>
      <c r="AC52" s="55"/>
      <c r="AD52" s="56"/>
      <c r="AE52" s="57"/>
      <c r="AF52" s="36"/>
    </row>
    <row r="53" spans="2:32" s="32" customFormat="1" ht="28.5" x14ac:dyDescent="0.25">
      <c r="B53" s="36"/>
      <c r="C53" s="36"/>
      <c r="D53" s="434"/>
      <c r="E53" s="33">
        <v>1</v>
      </c>
      <c r="F53" s="34">
        <v>1</v>
      </c>
      <c r="G53" s="34">
        <v>1</v>
      </c>
      <c r="H53" s="34">
        <v>1</v>
      </c>
      <c r="I53" s="34">
        <v>8</v>
      </c>
      <c r="J53" s="36" t="s">
        <v>77</v>
      </c>
      <c r="K53" s="374" t="s">
        <v>290</v>
      </c>
      <c r="L53" s="375" t="s">
        <v>291</v>
      </c>
      <c r="M53" s="375" t="s">
        <v>292</v>
      </c>
      <c r="N53" s="36" t="s">
        <v>301</v>
      </c>
      <c r="O53" s="36" t="s">
        <v>301</v>
      </c>
      <c r="P53" s="53">
        <v>1220111578</v>
      </c>
      <c r="Q53" s="36" t="s">
        <v>301</v>
      </c>
      <c r="R53" s="47">
        <f>P53+(P53*3%)</f>
        <v>1256714925.3399999</v>
      </c>
      <c r="S53" s="36" t="s">
        <v>301</v>
      </c>
      <c r="T53" s="47">
        <f>R53+(R53*10%)</f>
        <v>1382386417.8739998</v>
      </c>
      <c r="U53" s="36" t="s">
        <v>301</v>
      </c>
      <c r="V53" s="47">
        <f>T53+(T53*10%)</f>
        <v>1520625059.6613998</v>
      </c>
      <c r="W53" s="36" t="s">
        <v>301</v>
      </c>
      <c r="X53" s="47">
        <f>V53+(V53*10%)</f>
        <v>1672687565.6275399</v>
      </c>
      <c r="Y53" s="36" t="s">
        <v>301</v>
      </c>
      <c r="Z53" s="431">
        <f>X53+V53+T53+R53+P53</f>
        <v>7052525546.5029392</v>
      </c>
      <c r="AA53" s="52" t="str">
        <f>AA47</f>
        <v>Dinas Dikpora</v>
      </c>
      <c r="AB53" s="53">
        <v>355000</v>
      </c>
      <c r="AC53" s="50">
        <f>AB53+(AB53*5%)</f>
        <v>372750</v>
      </c>
      <c r="AD53" s="51" t="str">
        <f>AD47</f>
        <v>Dinas Dikpora</v>
      </c>
      <c r="AE53" s="52" t="s">
        <v>67</v>
      </c>
      <c r="AF53" s="36" t="s">
        <v>78</v>
      </c>
    </row>
    <row r="54" spans="2:32" s="32" customFormat="1" ht="270.75" x14ac:dyDescent="0.3">
      <c r="B54" s="36"/>
      <c r="C54" s="36"/>
      <c r="D54" s="434"/>
      <c r="E54" s="33"/>
      <c r="F54" s="34"/>
      <c r="G54" s="34"/>
      <c r="H54" s="34"/>
      <c r="I54" s="34"/>
      <c r="J54" s="36"/>
      <c r="K54" s="374" t="s">
        <v>293</v>
      </c>
      <c r="L54" s="375" t="s">
        <v>291</v>
      </c>
      <c r="M54" s="362" t="s">
        <v>1194</v>
      </c>
      <c r="N54" s="36" t="s">
        <v>1083</v>
      </c>
      <c r="O54" s="36" t="s">
        <v>1083</v>
      </c>
      <c r="P54" s="54"/>
      <c r="Q54" s="36" t="s">
        <v>1083</v>
      </c>
      <c r="R54" s="37"/>
      <c r="S54" s="36" t="s">
        <v>1083</v>
      </c>
      <c r="T54" s="37"/>
      <c r="U54" s="36" t="s">
        <v>1083</v>
      </c>
      <c r="V54" s="37"/>
      <c r="W54" s="36" t="s">
        <v>1083</v>
      </c>
      <c r="X54" s="37"/>
      <c r="Y54" s="36" t="s">
        <v>1083</v>
      </c>
      <c r="Z54" s="37"/>
      <c r="AA54" s="57"/>
      <c r="AB54" s="54"/>
      <c r="AC54" s="55"/>
      <c r="AD54" s="56"/>
      <c r="AE54" s="57"/>
      <c r="AF54" s="36"/>
    </row>
    <row r="55" spans="2:32" s="32" customFormat="1" ht="28.5" x14ac:dyDescent="0.3">
      <c r="B55" s="36"/>
      <c r="C55" s="36"/>
      <c r="D55" s="434"/>
      <c r="E55" s="33"/>
      <c r="F55" s="34"/>
      <c r="G55" s="34"/>
      <c r="H55" s="34"/>
      <c r="I55" s="34"/>
      <c r="J55" s="36"/>
      <c r="K55" s="374" t="s">
        <v>294</v>
      </c>
      <c r="L55" s="375" t="s">
        <v>291</v>
      </c>
      <c r="M55" s="362" t="s">
        <v>999</v>
      </c>
      <c r="N55" s="41">
        <v>1</v>
      </c>
      <c r="O55" s="41">
        <v>1</v>
      </c>
      <c r="P55" s="54"/>
      <c r="Q55" s="41">
        <v>1</v>
      </c>
      <c r="R55" s="37"/>
      <c r="S55" s="41">
        <v>1</v>
      </c>
      <c r="T55" s="37"/>
      <c r="U55" s="41">
        <v>1</v>
      </c>
      <c r="V55" s="37"/>
      <c r="W55" s="41">
        <v>1</v>
      </c>
      <c r="X55" s="37"/>
      <c r="Y55" s="41">
        <v>1</v>
      </c>
      <c r="Z55" s="37"/>
      <c r="AA55" s="57"/>
      <c r="AB55" s="54"/>
      <c r="AC55" s="55"/>
      <c r="AD55" s="56"/>
      <c r="AE55" s="57"/>
      <c r="AF55" s="36"/>
    </row>
    <row r="56" spans="2:32" s="32" customFormat="1" x14ac:dyDescent="0.3">
      <c r="B56" s="36"/>
      <c r="C56" s="36"/>
      <c r="D56" s="434"/>
      <c r="E56" s="33"/>
      <c r="F56" s="34"/>
      <c r="G56" s="34"/>
      <c r="H56" s="34"/>
      <c r="I56" s="34"/>
      <c r="J56" s="36"/>
      <c r="K56" s="374" t="s">
        <v>295</v>
      </c>
      <c r="L56" s="375" t="s">
        <v>291</v>
      </c>
      <c r="M56" s="384" t="s">
        <v>296</v>
      </c>
      <c r="N56" s="36"/>
      <c r="O56" s="36"/>
      <c r="P56" s="54"/>
      <c r="Q56" s="36"/>
      <c r="R56" s="37"/>
      <c r="S56" s="36"/>
      <c r="T56" s="37"/>
      <c r="U56" s="36"/>
      <c r="V56" s="37"/>
      <c r="W56" s="36"/>
      <c r="X56" s="37"/>
      <c r="Y56" s="36"/>
      <c r="Z56" s="37"/>
      <c r="AA56" s="57"/>
      <c r="AB56" s="54"/>
      <c r="AC56" s="55"/>
      <c r="AD56" s="56"/>
      <c r="AE56" s="57"/>
      <c r="AF56" s="36"/>
    </row>
    <row r="57" spans="2:32" s="32" customFormat="1" x14ac:dyDescent="0.3">
      <c r="B57" s="92"/>
      <c r="C57" s="92"/>
      <c r="D57" s="439"/>
      <c r="E57" s="91"/>
      <c r="F57" s="376"/>
      <c r="G57" s="376"/>
      <c r="H57" s="376"/>
      <c r="I57" s="376"/>
      <c r="J57" s="92"/>
      <c r="K57" s="377" t="s">
        <v>297</v>
      </c>
      <c r="L57" s="378" t="s">
        <v>291</v>
      </c>
      <c r="M57" s="385" t="s">
        <v>298</v>
      </c>
      <c r="N57" s="92"/>
      <c r="O57" s="92"/>
      <c r="P57" s="387"/>
      <c r="Q57" s="92"/>
      <c r="R57" s="101"/>
      <c r="S57" s="92"/>
      <c r="T57" s="101"/>
      <c r="U57" s="92"/>
      <c r="V57" s="101"/>
      <c r="W57" s="92"/>
      <c r="X57" s="101"/>
      <c r="Y57" s="92"/>
      <c r="Z57" s="101"/>
      <c r="AA57" s="388"/>
      <c r="AB57" s="387"/>
      <c r="AC57" s="389"/>
      <c r="AD57" s="390"/>
      <c r="AE57" s="388"/>
      <c r="AF57" s="92"/>
    </row>
    <row r="58" spans="2:32" s="32" customFormat="1" x14ac:dyDescent="0.3">
      <c r="B58" s="36"/>
      <c r="C58" s="36"/>
      <c r="D58" s="434"/>
      <c r="E58" s="33"/>
      <c r="F58" s="34"/>
      <c r="G58" s="34"/>
      <c r="H58" s="34"/>
      <c r="I58" s="34"/>
      <c r="J58" s="36"/>
      <c r="K58" s="46"/>
      <c r="L58" s="46"/>
      <c r="M58" s="362"/>
      <c r="N58" s="36"/>
      <c r="O58" s="36"/>
      <c r="P58" s="54"/>
      <c r="Q58" s="36"/>
      <c r="R58" s="37"/>
      <c r="S58" s="36"/>
      <c r="T58" s="37"/>
      <c r="U58" s="36"/>
      <c r="V58" s="37"/>
      <c r="W58" s="36"/>
      <c r="X58" s="37"/>
      <c r="Y58" s="36"/>
      <c r="Z58" s="37"/>
      <c r="AA58" s="57"/>
      <c r="AB58" s="54"/>
      <c r="AC58" s="55"/>
      <c r="AD58" s="56"/>
      <c r="AE58" s="57"/>
      <c r="AF58" s="36"/>
    </row>
    <row r="59" spans="2:32" s="32" customFormat="1" ht="28.5" x14ac:dyDescent="0.25">
      <c r="B59" s="36"/>
      <c r="C59" s="36"/>
      <c r="D59" s="434"/>
      <c r="E59" s="33">
        <v>1</v>
      </c>
      <c r="F59" s="34">
        <v>1</v>
      </c>
      <c r="G59" s="34">
        <v>1</v>
      </c>
      <c r="H59" s="34">
        <v>1</v>
      </c>
      <c r="I59" s="34">
        <v>9</v>
      </c>
      <c r="J59" s="36" t="s">
        <v>1068</v>
      </c>
      <c r="K59" s="374" t="s">
        <v>290</v>
      </c>
      <c r="L59" s="375" t="s">
        <v>291</v>
      </c>
      <c r="M59" s="375" t="s">
        <v>292</v>
      </c>
      <c r="N59" s="36" t="s">
        <v>301</v>
      </c>
      <c r="O59" s="36" t="s">
        <v>301</v>
      </c>
      <c r="P59" s="53">
        <v>605472750</v>
      </c>
      <c r="Q59" s="36" t="s">
        <v>301</v>
      </c>
      <c r="R59" s="47">
        <f>P59+(P59*3%)</f>
        <v>623636932.5</v>
      </c>
      <c r="S59" s="36" t="s">
        <v>301</v>
      </c>
      <c r="T59" s="47">
        <f>R59+(R59*10%)</f>
        <v>686000625.75</v>
      </c>
      <c r="U59" s="36" t="s">
        <v>301</v>
      </c>
      <c r="V59" s="47">
        <f>T59+(T59*10%)</f>
        <v>754600688.32500005</v>
      </c>
      <c r="W59" s="36" t="s">
        <v>301</v>
      </c>
      <c r="X59" s="47">
        <f>V59+(V59*10%)</f>
        <v>830060757.15750003</v>
      </c>
      <c r="Y59" s="36" t="s">
        <v>301</v>
      </c>
      <c r="Z59" s="431">
        <f>X59+V59+T59+R59+P59</f>
        <v>3499771753.7325001</v>
      </c>
      <c r="AA59" s="52" t="str">
        <f>AA53</f>
        <v>Dinas Dikpora</v>
      </c>
      <c r="AB59" s="53">
        <v>859000</v>
      </c>
      <c r="AC59" s="50">
        <f>AB59+(AB59*5%)</f>
        <v>901950</v>
      </c>
      <c r="AD59" s="51" t="str">
        <f>AD53</f>
        <v>Dinas Dikpora</v>
      </c>
      <c r="AE59" s="52" t="str">
        <f>AE53</f>
        <v>Sedang Berjalan</v>
      </c>
      <c r="AF59" s="36" t="s">
        <v>79</v>
      </c>
    </row>
    <row r="60" spans="2:32" s="32" customFormat="1" ht="114" x14ac:dyDescent="0.3">
      <c r="B60" s="36"/>
      <c r="C60" s="36"/>
      <c r="D60" s="434"/>
      <c r="E60" s="33"/>
      <c r="F60" s="34"/>
      <c r="G60" s="34"/>
      <c r="H60" s="34"/>
      <c r="I60" s="34"/>
      <c r="J60" s="36"/>
      <c r="K60" s="374" t="s">
        <v>293</v>
      </c>
      <c r="L60" s="375" t="s">
        <v>291</v>
      </c>
      <c r="M60" s="362" t="s">
        <v>1195</v>
      </c>
      <c r="N60" s="36" t="s">
        <v>1084</v>
      </c>
      <c r="O60" s="36" t="s">
        <v>1084</v>
      </c>
      <c r="P60" s="54"/>
      <c r="Q60" s="36" t="s">
        <v>1084</v>
      </c>
      <c r="R60" s="37"/>
      <c r="S60" s="36" t="s">
        <v>1084</v>
      </c>
      <c r="T60" s="37"/>
      <c r="U60" s="36" t="s">
        <v>1084</v>
      </c>
      <c r="V60" s="37"/>
      <c r="W60" s="36" t="s">
        <v>1084</v>
      </c>
      <c r="X60" s="37"/>
      <c r="Y60" s="36" t="s">
        <v>1084</v>
      </c>
      <c r="Z60" s="37"/>
      <c r="AA60" s="57"/>
      <c r="AB60" s="54"/>
      <c r="AC60" s="55"/>
      <c r="AD60" s="56"/>
      <c r="AE60" s="57"/>
      <c r="AF60" s="36"/>
    </row>
    <row r="61" spans="2:32" s="32" customFormat="1" ht="42.75" x14ac:dyDescent="0.3">
      <c r="B61" s="36"/>
      <c r="C61" s="36"/>
      <c r="D61" s="434"/>
      <c r="E61" s="33"/>
      <c r="F61" s="34"/>
      <c r="G61" s="34"/>
      <c r="H61" s="34"/>
      <c r="I61" s="34"/>
      <c r="J61" s="36"/>
      <c r="K61" s="374" t="s">
        <v>294</v>
      </c>
      <c r="L61" s="375" t="s">
        <v>291</v>
      </c>
      <c r="M61" s="362" t="s">
        <v>1000</v>
      </c>
      <c r="N61" s="41">
        <v>1</v>
      </c>
      <c r="O61" s="41">
        <v>1</v>
      </c>
      <c r="P61" s="54"/>
      <c r="Q61" s="41">
        <v>1</v>
      </c>
      <c r="R61" s="37"/>
      <c r="S61" s="41">
        <v>1</v>
      </c>
      <c r="T61" s="37"/>
      <c r="U61" s="41">
        <v>1</v>
      </c>
      <c r="V61" s="37"/>
      <c r="W61" s="41">
        <v>1</v>
      </c>
      <c r="X61" s="37"/>
      <c r="Y61" s="41">
        <v>1</v>
      </c>
      <c r="Z61" s="37"/>
      <c r="AA61" s="57"/>
      <c r="AB61" s="54"/>
      <c r="AC61" s="55"/>
      <c r="AD61" s="56"/>
      <c r="AE61" s="57"/>
      <c r="AF61" s="36"/>
    </row>
    <row r="62" spans="2:32" s="32" customFormat="1" x14ac:dyDescent="0.3">
      <c r="B62" s="36"/>
      <c r="C62" s="36"/>
      <c r="D62" s="434"/>
      <c r="E62" s="33"/>
      <c r="F62" s="34"/>
      <c r="G62" s="34"/>
      <c r="H62" s="34"/>
      <c r="I62" s="34"/>
      <c r="J62" s="36"/>
      <c r="K62" s="374" t="s">
        <v>295</v>
      </c>
      <c r="L62" s="375" t="s">
        <v>291</v>
      </c>
      <c r="M62" s="384" t="s">
        <v>296</v>
      </c>
      <c r="N62" s="36"/>
      <c r="O62" s="36"/>
      <c r="P62" s="54"/>
      <c r="Q62" s="36"/>
      <c r="R62" s="37"/>
      <c r="S62" s="36"/>
      <c r="T62" s="37"/>
      <c r="U62" s="36"/>
      <c r="V62" s="37"/>
      <c r="W62" s="36"/>
      <c r="X62" s="37"/>
      <c r="Y62" s="36"/>
      <c r="Z62" s="37"/>
      <c r="AA62" s="57"/>
      <c r="AB62" s="54"/>
      <c r="AC62" s="55"/>
      <c r="AD62" s="56"/>
      <c r="AE62" s="57"/>
      <c r="AF62" s="36"/>
    </row>
    <row r="63" spans="2:32" s="32" customFormat="1" x14ac:dyDescent="0.3">
      <c r="B63" s="92"/>
      <c r="C63" s="92"/>
      <c r="D63" s="439"/>
      <c r="E63" s="91"/>
      <c r="F63" s="376"/>
      <c r="G63" s="376"/>
      <c r="H63" s="376"/>
      <c r="I63" s="376"/>
      <c r="J63" s="92"/>
      <c r="K63" s="377" t="s">
        <v>297</v>
      </c>
      <c r="L63" s="378" t="s">
        <v>291</v>
      </c>
      <c r="M63" s="385" t="s">
        <v>298</v>
      </c>
      <c r="N63" s="92"/>
      <c r="O63" s="92"/>
      <c r="P63" s="387"/>
      <c r="Q63" s="92"/>
      <c r="R63" s="101"/>
      <c r="S63" s="92"/>
      <c r="T63" s="101"/>
      <c r="U63" s="92"/>
      <c r="V63" s="101"/>
      <c r="W63" s="92"/>
      <c r="X63" s="101"/>
      <c r="Y63" s="92"/>
      <c r="Z63" s="101"/>
      <c r="AA63" s="388"/>
      <c r="AB63" s="387"/>
      <c r="AC63" s="389"/>
      <c r="AD63" s="390"/>
      <c r="AE63" s="388"/>
      <c r="AF63" s="92"/>
    </row>
    <row r="64" spans="2:32" s="32" customFormat="1" x14ac:dyDescent="0.3">
      <c r="B64" s="36"/>
      <c r="C64" s="36"/>
      <c r="D64" s="434"/>
      <c r="E64" s="33"/>
      <c r="F64" s="34"/>
      <c r="G64" s="34"/>
      <c r="H64" s="34"/>
      <c r="I64" s="34"/>
      <c r="J64" s="36"/>
      <c r="K64" s="46"/>
      <c r="L64" s="46"/>
      <c r="M64" s="362"/>
      <c r="N64" s="36"/>
      <c r="O64" s="36"/>
      <c r="P64" s="54"/>
      <c r="Q64" s="36"/>
      <c r="R64" s="37"/>
      <c r="S64" s="36"/>
      <c r="T64" s="37"/>
      <c r="U64" s="36"/>
      <c r="V64" s="37"/>
      <c r="W64" s="36"/>
      <c r="X64" s="37"/>
      <c r="Y64" s="36"/>
      <c r="Z64" s="37"/>
      <c r="AA64" s="57"/>
      <c r="AB64" s="54"/>
      <c r="AC64" s="55"/>
      <c r="AD64" s="56"/>
      <c r="AE64" s="57"/>
      <c r="AF64" s="36"/>
    </row>
    <row r="65" spans="2:32" s="32" customFormat="1" ht="28.5" x14ac:dyDescent="0.25">
      <c r="B65" s="36"/>
      <c r="C65" s="36"/>
      <c r="D65" s="434"/>
      <c r="E65" s="33">
        <v>1</v>
      </c>
      <c r="F65" s="34">
        <v>1</v>
      </c>
      <c r="G65" s="34">
        <v>1</v>
      </c>
      <c r="H65" s="34">
        <v>1</v>
      </c>
      <c r="I65" s="34">
        <v>10</v>
      </c>
      <c r="J65" s="36" t="s">
        <v>1069</v>
      </c>
      <c r="K65" s="374" t="s">
        <v>290</v>
      </c>
      <c r="L65" s="375" t="s">
        <v>291</v>
      </c>
      <c r="M65" s="375" t="s">
        <v>292</v>
      </c>
      <c r="N65" s="36" t="s">
        <v>301</v>
      </c>
      <c r="O65" s="36" t="s">
        <v>301</v>
      </c>
      <c r="P65" s="53">
        <v>410545010</v>
      </c>
      <c r="Q65" s="36" t="s">
        <v>301</v>
      </c>
      <c r="R65" s="47">
        <f>P65+(P65*3%)</f>
        <v>422861360.30000001</v>
      </c>
      <c r="S65" s="36" t="s">
        <v>301</v>
      </c>
      <c r="T65" s="47">
        <f>R65+(R65*10%)</f>
        <v>465147496.33000004</v>
      </c>
      <c r="U65" s="36" t="s">
        <v>301</v>
      </c>
      <c r="V65" s="47">
        <f>T65+(T65*10%)</f>
        <v>511662245.96300006</v>
      </c>
      <c r="W65" s="36" t="s">
        <v>301</v>
      </c>
      <c r="X65" s="47">
        <f>V65+(V65*10%)</f>
        <v>562828470.55930007</v>
      </c>
      <c r="Y65" s="36" t="s">
        <v>301</v>
      </c>
      <c r="Z65" s="431">
        <f>X65+V65+T65+R65+P65</f>
        <v>2373044583.1522999</v>
      </c>
      <c r="AA65" s="52" t="str">
        <f>AA59</f>
        <v>Dinas Dikpora</v>
      </c>
      <c r="AB65" s="53">
        <v>520000</v>
      </c>
      <c r="AC65" s="50">
        <f>AB65+(AB65*5%)</f>
        <v>546000</v>
      </c>
      <c r="AD65" s="51" t="str">
        <f>AD59</f>
        <v>Dinas Dikpora</v>
      </c>
      <c r="AE65" s="52" t="str">
        <f>AE59</f>
        <v>Sedang Berjalan</v>
      </c>
      <c r="AF65" s="36" t="s">
        <v>79</v>
      </c>
    </row>
    <row r="66" spans="2:32" s="32" customFormat="1" ht="99.75" x14ac:dyDescent="0.3">
      <c r="B66" s="36"/>
      <c r="C66" s="36"/>
      <c r="D66" s="434"/>
      <c r="E66" s="33"/>
      <c r="F66" s="34"/>
      <c r="G66" s="34"/>
      <c r="H66" s="34"/>
      <c r="I66" s="34"/>
      <c r="J66" s="36"/>
      <c r="K66" s="374" t="s">
        <v>293</v>
      </c>
      <c r="L66" s="375" t="s">
        <v>291</v>
      </c>
      <c r="M66" s="362" t="s">
        <v>1196</v>
      </c>
      <c r="N66" s="36" t="s">
        <v>1085</v>
      </c>
      <c r="O66" s="36" t="s">
        <v>1085</v>
      </c>
      <c r="P66" s="54"/>
      <c r="Q66" s="36" t="s">
        <v>1085</v>
      </c>
      <c r="R66" s="37"/>
      <c r="S66" s="36" t="s">
        <v>1085</v>
      </c>
      <c r="T66" s="37"/>
      <c r="U66" s="36" t="s">
        <v>1085</v>
      </c>
      <c r="V66" s="37"/>
      <c r="W66" s="36" t="s">
        <v>1085</v>
      </c>
      <c r="X66" s="37"/>
      <c r="Y66" s="36" t="s">
        <v>1085</v>
      </c>
      <c r="Z66" s="37"/>
      <c r="AA66" s="57"/>
      <c r="AB66" s="54"/>
      <c r="AC66" s="55"/>
      <c r="AD66" s="56"/>
      <c r="AE66" s="57"/>
      <c r="AF66" s="36"/>
    </row>
    <row r="67" spans="2:32" s="32" customFormat="1" ht="28.5" x14ac:dyDescent="0.3">
      <c r="B67" s="36"/>
      <c r="C67" s="36"/>
      <c r="D67" s="434"/>
      <c r="E67" s="33"/>
      <c r="F67" s="34"/>
      <c r="G67" s="34"/>
      <c r="H67" s="34"/>
      <c r="I67" s="34"/>
      <c r="J67" s="36"/>
      <c r="K67" s="374" t="s">
        <v>294</v>
      </c>
      <c r="L67" s="375" t="s">
        <v>291</v>
      </c>
      <c r="M67" s="362" t="s">
        <v>1001</v>
      </c>
      <c r="N67" s="41">
        <v>1</v>
      </c>
      <c r="O67" s="41">
        <v>1</v>
      </c>
      <c r="P67" s="54"/>
      <c r="Q67" s="41">
        <v>1</v>
      </c>
      <c r="R67" s="37"/>
      <c r="S67" s="41">
        <v>1</v>
      </c>
      <c r="T67" s="37"/>
      <c r="U67" s="41">
        <v>1</v>
      </c>
      <c r="V67" s="37"/>
      <c r="W67" s="41">
        <v>1</v>
      </c>
      <c r="X67" s="37"/>
      <c r="Y67" s="41">
        <v>1</v>
      </c>
      <c r="Z67" s="37"/>
      <c r="AA67" s="57"/>
      <c r="AB67" s="54"/>
      <c r="AC67" s="55"/>
      <c r="AD67" s="56"/>
      <c r="AE67" s="57"/>
      <c r="AF67" s="36"/>
    </row>
    <row r="68" spans="2:32" s="32" customFormat="1" x14ac:dyDescent="0.3">
      <c r="B68" s="36"/>
      <c r="C68" s="36"/>
      <c r="D68" s="434"/>
      <c r="E68" s="33"/>
      <c r="F68" s="34"/>
      <c r="G68" s="34"/>
      <c r="H68" s="34"/>
      <c r="I68" s="34"/>
      <c r="J68" s="36"/>
      <c r="K68" s="374" t="s">
        <v>295</v>
      </c>
      <c r="L68" s="375" t="s">
        <v>291</v>
      </c>
      <c r="M68" s="384" t="s">
        <v>296</v>
      </c>
      <c r="N68" s="36"/>
      <c r="O68" s="36"/>
      <c r="P68" s="54"/>
      <c r="Q68" s="36"/>
      <c r="R68" s="37"/>
      <c r="S68" s="36"/>
      <c r="T68" s="37"/>
      <c r="U68" s="36"/>
      <c r="V68" s="37"/>
      <c r="W68" s="36"/>
      <c r="X68" s="37"/>
      <c r="Y68" s="36"/>
      <c r="Z68" s="37"/>
      <c r="AA68" s="57"/>
      <c r="AB68" s="54"/>
      <c r="AC68" s="55"/>
      <c r="AD68" s="56"/>
      <c r="AE68" s="57"/>
      <c r="AF68" s="36"/>
    </row>
    <row r="69" spans="2:32" s="32" customFormat="1" x14ac:dyDescent="0.3">
      <c r="B69" s="92"/>
      <c r="C69" s="92"/>
      <c r="D69" s="439"/>
      <c r="E69" s="91"/>
      <c r="F69" s="376"/>
      <c r="G69" s="376"/>
      <c r="H69" s="376"/>
      <c r="I69" s="376"/>
      <c r="J69" s="92"/>
      <c r="K69" s="377" t="s">
        <v>297</v>
      </c>
      <c r="L69" s="378" t="s">
        <v>291</v>
      </c>
      <c r="M69" s="385" t="s">
        <v>298</v>
      </c>
      <c r="N69" s="92"/>
      <c r="O69" s="92"/>
      <c r="P69" s="387"/>
      <c r="Q69" s="92"/>
      <c r="R69" s="101"/>
      <c r="S69" s="92"/>
      <c r="T69" s="101"/>
      <c r="U69" s="92"/>
      <c r="V69" s="101"/>
      <c r="W69" s="92"/>
      <c r="X69" s="101"/>
      <c r="Y69" s="92"/>
      <c r="Z69" s="101"/>
      <c r="AA69" s="388"/>
      <c r="AB69" s="387"/>
      <c r="AC69" s="389"/>
      <c r="AD69" s="390"/>
      <c r="AE69" s="388"/>
      <c r="AF69" s="92"/>
    </row>
    <row r="70" spans="2:32" s="32" customFormat="1" x14ac:dyDescent="0.3">
      <c r="B70" s="36"/>
      <c r="C70" s="36"/>
      <c r="D70" s="434"/>
      <c r="E70" s="33"/>
      <c r="F70" s="34"/>
      <c r="G70" s="34"/>
      <c r="H70" s="34"/>
      <c r="I70" s="34"/>
      <c r="J70" s="36"/>
      <c r="K70" s="46"/>
      <c r="L70" s="46"/>
      <c r="M70" s="362"/>
      <c r="N70" s="36"/>
      <c r="O70" s="36"/>
      <c r="P70" s="54"/>
      <c r="Q70" s="36"/>
      <c r="R70" s="37"/>
      <c r="S70" s="36"/>
      <c r="T70" s="37"/>
      <c r="U70" s="36"/>
      <c r="V70" s="37"/>
      <c r="W70" s="36"/>
      <c r="X70" s="37"/>
      <c r="Y70" s="36"/>
      <c r="Z70" s="37"/>
      <c r="AA70" s="57"/>
      <c r="AB70" s="54"/>
      <c r="AC70" s="55"/>
      <c r="AD70" s="56"/>
      <c r="AE70" s="57"/>
      <c r="AF70" s="36"/>
    </row>
    <row r="71" spans="2:32" s="32" customFormat="1" ht="28.5" x14ac:dyDescent="0.25">
      <c r="B71" s="36"/>
      <c r="C71" s="36"/>
      <c r="D71" s="434"/>
      <c r="E71" s="33">
        <v>1</v>
      </c>
      <c r="F71" s="34">
        <v>1</v>
      </c>
      <c r="G71" s="34">
        <v>1</v>
      </c>
      <c r="H71" s="34">
        <v>1</v>
      </c>
      <c r="I71" s="34">
        <v>11</v>
      </c>
      <c r="J71" s="36" t="s">
        <v>80</v>
      </c>
      <c r="K71" s="374" t="s">
        <v>290</v>
      </c>
      <c r="L71" s="375" t="s">
        <v>291</v>
      </c>
      <c r="M71" s="375" t="s">
        <v>292</v>
      </c>
      <c r="N71" s="36" t="s">
        <v>301</v>
      </c>
      <c r="O71" s="36" t="s">
        <v>301</v>
      </c>
      <c r="P71" s="53">
        <f>2645992555-579629482</f>
        <v>2066363073</v>
      </c>
      <c r="Q71" s="36" t="s">
        <v>301</v>
      </c>
      <c r="R71" s="47">
        <f>P71+(P71*3%)</f>
        <v>2128353965.1900001</v>
      </c>
      <c r="S71" s="36" t="s">
        <v>301</v>
      </c>
      <c r="T71" s="47">
        <f>R71+(R71*10%)</f>
        <v>2341189361.7090001</v>
      </c>
      <c r="U71" s="36" t="s">
        <v>301</v>
      </c>
      <c r="V71" s="47">
        <f>T71+(T71*10%)</f>
        <v>2575308297.8799</v>
      </c>
      <c r="W71" s="36" t="s">
        <v>301</v>
      </c>
      <c r="X71" s="47">
        <f>V71+(V71*10%)</f>
        <v>2832839127.6678901</v>
      </c>
      <c r="Y71" s="36" t="s">
        <v>301</v>
      </c>
      <c r="Z71" s="431">
        <f>X71+V71+T71+R71+P71</f>
        <v>11944053825.446791</v>
      </c>
      <c r="AA71" s="52" t="s">
        <v>66</v>
      </c>
      <c r="AB71" s="53">
        <v>350000</v>
      </c>
      <c r="AC71" s="50">
        <f>AB71+(AB71*5%)</f>
        <v>367500</v>
      </c>
      <c r="AD71" s="51" t="str">
        <f>AD65</f>
        <v>Dinas Dikpora</v>
      </c>
      <c r="AE71" s="52" t="str">
        <f>AE65</f>
        <v>Sedang Berjalan</v>
      </c>
      <c r="AF71" s="36" t="s">
        <v>79</v>
      </c>
    </row>
    <row r="72" spans="2:32" s="32" customFormat="1" ht="99.75" x14ac:dyDescent="0.3">
      <c r="B72" s="36"/>
      <c r="C72" s="36"/>
      <c r="D72" s="434"/>
      <c r="E72" s="33"/>
      <c r="F72" s="34"/>
      <c r="G72" s="34"/>
      <c r="H72" s="34"/>
      <c r="I72" s="34"/>
      <c r="J72" s="36"/>
      <c r="K72" s="374" t="s">
        <v>293</v>
      </c>
      <c r="L72" s="375" t="s">
        <v>291</v>
      </c>
      <c r="M72" s="362" t="s">
        <v>1197</v>
      </c>
      <c r="N72" s="36" t="s">
        <v>1086</v>
      </c>
      <c r="O72" s="36" t="s">
        <v>1086</v>
      </c>
      <c r="P72" s="54"/>
      <c r="Q72" s="36" t="s">
        <v>1086</v>
      </c>
      <c r="R72" s="37"/>
      <c r="S72" s="36" t="s">
        <v>1086</v>
      </c>
      <c r="T72" s="37"/>
      <c r="U72" s="36" t="s">
        <v>1086</v>
      </c>
      <c r="V72" s="37"/>
      <c r="W72" s="36" t="s">
        <v>1086</v>
      </c>
      <c r="X72" s="37"/>
      <c r="Y72" s="36" t="s">
        <v>1086</v>
      </c>
      <c r="Z72" s="37"/>
      <c r="AA72" s="57"/>
      <c r="AB72" s="54"/>
      <c r="AC72" s="55"/>
      <c r="AD72" s="56"/>
      <c r="AE72" s="57"/>
      <c r="AF72" s="36"/>
    </row>
    <row r="73" spans="2:32" s="32" customFormat="1" ht="42.75" x14ac:dyDescent="0.3">
      <c r="B73" s="36"/>
      <c r="C73" s="36"/>
      <c r="D73" s="434"/>
      <c r="E73" s="33"/>
      <c r="F73" s="34"/>
      <c r="G73" s="34"/>
      <c r="H73" s="34"/>
      <c r="I73" s="34"/>
      <c r="J73" s="36"/>
      <c r="K73" s="374" t="s">
        <v>294</v>
      </c>
      <c r="L73" s="375" t="s">
        <v>291</v>
      </c>
      <c r="M73" s="362" t="s">
        <v>1002</v>
      </c>
      <c r="N73" s="41">
        <v>1</v>
      </c>
      <c r="O73" s="41">
        <v>1</v>
      </c>
      <c r="P73" s="54"/>
      <c r="Q73" s="41">
        <v>1</v>
      </c>
      <c r="R73" s="37"/>
      <c r="S73" s="41">
        <v>1</v>
      </c>
      <c r="T73" s="37"/>
      <c r="U73" s="41">
        <v>1</v>
      </c>
      <c r="V73" s="37"/>
      <c r="W73" s="41">
        <v>1</v>
      </c>
      <c r="X73" s="37"/>
      <c r="Y73" s="41">
        <v>1</v>
      </c>
      <c r="Z73" s="37"/>
      <c r="AA73" s="57"/>
      <c r="AB73" s="54"/>
      <c r="AC73" s="55"/>
      <c r="AD73" s="56"/>
      <c r="AE73" s="57"/>
      <c r="AF73" s="36"/>
    </row>
    <row r="74" spans="2:32" s="32" customFormat="1" x14ac:dyDescent="0.3">
      <c r="B74" s="36"/>
      <c r="C74" s="36"/>
      <c r="D74" s="434"/>
      <c r="E74" s="33"/>
      <c r="F74" s="34"/>
      <c r="G74" s="34"/>
      <c r="H74" s="34"/>
      <c r="I74" s="34"/>
      <c r="J74" s="36"/>
      <c r="K74" s="374" t="s">
        <v>295</v>
      </c>
      <c r="L74" s="375" t="s">
        <v>291</v>
      </c>
      <c r="M74" s="384" t="s">
        <v>296</v>
      </c>
      <c r="N74" s="36"/>
      <c r="O74" s="36"/>
      <c r="P74" s="54"/>
      <c r="Q74" s="36"/>
      <c r="R74" s="37"/>
      <c r="S74" s="36"/>
      <c r="T74" s="37"/>
      <c r="U74" s="36"/>
      <c r="V74" s="37"/>
      <c r="W74" s="36"/>
      <c r="X74" s="37"/>
      <c r="Y74" s="36"/>
      <c r="Z74" s="37"/>
      <c r="AA74" s="57"/>
      <c r="AB74" s="54"/>
      <c r="AC74" s="55"/>
      <c r="AD74" s="56"/>
      <c r="AE74" s="57"/>
      <c r="AF74" s="36"/>
    </row>
    <row r="75" spans="2:32" s="32" customFormat="1" x14ac:dyDescent="0.3">
      <c r="B75" s="92"/>
      <c r="C75" s="92"/>
      <c r="D75" s="439"/>
      <c r="E75" s="91"/>
      <c r="F75" s="376"/>
      <c r="G75" s="376"/>
      <c r="H75" s="376"/>
      <c r="I75" s="376"/>
      <c r="J75" s="92"/>
      <c r="K75" s="377" t="s">
        <v>297</v>
      </c>
      <c r="L75" s="378" t="s">
        <v>291</v>
      </c>
      <c r="M75" s="385" t="s">
        <v>298</v>
      </c>
      <c r="N75" s="92"/>
      <c r="O75" s="92"/>
      <c r="P75" s="387"/>
      <c r="Q75" s="92"/>
      <c r="R75" s="101"/>
      <c r="S75" s="92"/>
      <c r="T75" s="101"/>
      <c r="U75" s="92"/>
      <c r="V75" s="101"/>
      <c r="W75" s="92"/>
      <c r="X75" s="101"/>
      <c r="Y75" s="92"/>
      <c r="Z75" s="101"/>
      <c r="AA75" s="388"/>
      <c r="AB75" s="387"/>
      <c r="AC75" s="389"/>
      <c r="AD75" s="390"/>
      <c r="AE75" s="388"/>
      <c r="AF75" s="92"/>
    </row>
    <row r="76" spans="2:32" s="32" customFormat="1" x14ac:dyDescent="0.3">
      <c r="B76" s="36"/>
      <c r="C76" s="36"/>
      <c r="D76" s="434"/>
      <c r="E76" s="33"/>
      <c r="F76" s="34"/>
      <c r="G76" s="34"/>
      <c r="H76" s="34"/>
      <c r="I76" s="34"/>
      <c r="J76" s="36"/>
      <c r="K76" s="46"/>
      <c r="L76" s="46"/>
      <c r="M76" s="362"/>
      <c r="N76" s="36"/>
      <c r="O76" s="36"/>
      <c r="P76" s="54"/>
      <c r="Q76" s="36"/>
      <c r="R76" s="37"/>
      <c r="S76" s="36"/>
      <c r="T76" s="37"/>
      <c r="U76" s="36"/>
      <c r="V76" s="37"/>
      <c r="W76" s="36"/>
      <c r="X76" s="37"/>
      <c r="Y76" s="36"/>
      <c r="Z76" s="37"/>
      <c r="AA76" s="57"/>
      <c r="AB76" s="54"/>
      <c r="AC76" s="55"/>
      <c r="AD76" s="56"/>
      <c r="AE76" s="57"/>
      <c r="AF76" s="36"/>
    </row>
    <row r="77" spans="2:32" s="32" customFormat="1" ht="28.5" x14ac:dyDescent="0.25">
      <c r="B77" s="36"/>
      <c r="C77" s="36"/>
      <c r="D77" s="434"/>
      <c r="E77" s="33">
        <v>1</v>
      </c>
      <c r="F77" s="34">
        <v>1</v>
      </c>
      <c r="G77" s="34">
        <v>1</v>
      </c>
      <c r="H77" s="34">
        <v>1</v>
      </c>
      <c r="I77" s="34">
        <v>12</v>
      </c>
      <c r="J77" s="36" t="s">
        <v>82</v>
      </c>
      <c r="K77" s="374" t="s">
        <v>290</v>
      </c>
      <c r="L77" s="375" t="s">
        <v>291</v>
      </c>
      <c r="M77" s="375" t="s">
        <v>292</v>
      </c>
      <c r="N77" s="36" t="s">
        <v>301</v>
      </c>
      <c r="O77" s="36" t="s">
        <v>301</v>
      </c>
      <c r="P77" s="50">
        <v>561550815</v>
      </c>
      <c r="Q77" s="36" t="s">
        <v>301</v>
      </c>
      <c r="R77" s="47">
        <f>P77+(P77*3%)</f>
        <v>578397339.45000005</v>
      </c>
      <c r="S77" s="36" t="s">
        <v>301</v>
      </c>
      <c r="T77" s="47">
        <f>R77+(R77*10%)</f>
        <v>636237073.3950001</v>
      </c>
      <c r="U77" s="36" t="s">
        <v>301</v>
      </c>
      <c r="V77" s="47">
        <f>T77+(T77*10%)</f>
        <v>699860780.73450017</v>
      </c>
      <c r="W77" s="36" t="s">
        <v>301</v>
      </c>
      <c r="X77" s="47">
        <f>V77+(V77*10%)</f>
        <v>769846858.80795014</v>
      </c>
      <c r="Y77" s="36" t="s">
        <v>301</v>
      </c>
      <c r="Z77" s="431">
        <f>X77+V77+T77+R77+P77</f>
        <v>3245892867.3874502</v>
      </c>
      <c r="AA77" s="52" t="s">
        <v>84</v>
      </c>
      <c r="AB77" s="53">
        <v>420000</v>
      </c>
      <c r="AC77" s="50">
        <f>AB77+(AB77*5%)</f>
        <v>441000</v>
      </c>
      <c r="AD77" s="51" t="s">
        <v>66</v>
      </c>
      <c r="AE77" s="52" t="s">
        <v>81</v>
      </c>
      <c r="AF77" s="36" t="s">
        <v>83</v>
      </c>
    </row>
    <row r="78" spans="2:32" s="32" customFormat="1" ht="171" x14ac:dyDescent="0.3">
      <c r="B78" s="36"/>
      <c r="C78" s="36"/>
      <c r="D78" s="434"/>
      <c r="E78" s="33"/>
      <c r="F78" s="34"/>
      <c r="G78" s="34"/>
      <c r="H78" s="34"/>
      <c r="I78" s="34"/>
      <c r="J78" s="36"/>
      <c r="K78" s="374" t="s">
        <v>293</v>
      </c>
      <c r="L78" s="375" t="s">
        <v>291</v>
      </c>
      <c r="M78" s="362" t="s">
        <v>1198</v>
      </c>
      <c r="N78" s="36" t="s">
        <v>1087</v>
      </c>
      <c r="O78" s="36" t="s">
        <v>1087</v>
      </c>
      <c r="P78" s="54"/>
      <c r="Q78" s="36" t="s">
        <v>1087</v>
      </c>
      <c r="R78" s="37"/>
      <c r="S78" s="36" t="s">
        <v>1087</v>
      </c>
      <c r="T78" s="37"/>
      <c r="U78" s="36" t="s">
        <v>1087</v>
      </c>
      <c r="V78" s="37"/>
      <c r="W78" s="36" t="s">
        <v>1087</v>
      </c>
      <c r="X78" s="37"/>
      <c r="Y78" s="36" t="s">
        <v>1087</v>
      </c>
      <c r="Z78" s="37"/>
      <c r="AA78" s="57"/>
      <c r="AB78" s="54"/>
      <c r="AC78" s="55"/>
      <c r="AD78" s="56"/>
      <c r="AE78" s="57"/>
      <c r="AF78" s="36"/>
    </row>
    <row r="79" spans="2:32" s="32" customFormat="1" ht="42.75" x14ac:dyDescent="0.3">
      <c r="B79" s="36"/>
      <c r="C79" s="36"/>
      <c r="D79" s="434"/>
      <c r="E79" s="33"/>
      <c r="F79" s="34"/>
      <c r="G79" s="34"/>
      <c r="H79" s="34"/>
      <c r="I79" s="34"/>
      <c r="J79" s="36"/>
      <c r="K79" s="374" t="s">
        <v>294</v>
      </c>
      <c r="L79" s="375" t="s">
        <v>291</v>
      </c>
      <c r="M79" s="46" t="s">
        <v>1003</v>
      </c>
      <c r="N79" s="41">
        <v>1</v>
      </c>
      <c r="O79" s="41">
        <v>1</v>
      </c>
      <c r="P79" s="54"/>
      <c r="Q79" s="41">
        <v>1</v>
      </c>
      <c r="R79" s="37"/>
      <c r="S79" s="41">
        <v>1</v>
      </c>
      <c r="T79" s="37"/>
      <c r="U79" s="41">
        <v>1</v>
      </c>
      <c r="V79" s="37"/>
      <c r="W79" s="41">
        <v>1</v>
      </c>
      <c r="X79" s="37"/>
      <c r="Y79" s="41">
        <v>1</v>
      </c>
      <c r="Z79" s="37"/>
      <c r="AA79" s="57"/>
      <c r="AB79" s="54"/>
      <c r="AC79" s="55"/>
      <c r="AD79" s="56"/>
      <c r="AE79" s="57"/>
      <c r="AF79" s="36"/>
    </row>
    <row r="80" spans="2:32" s="32" customFormat="1" x14ac:dyDescent="0.3">
      <c r="B80" s="36"/>
      <c r="C80" s="36"/>
      <c r="D80" s="434"/>
      <c r="E80" s="33"/>
      <c r="F80" s="34"/>
      <c r="G80" s="34"/>
      <c r="H80" s="34"/>
      <c r="I80" s="34"/>
      <c r="J80" s="36"/>
      <c r="K80" s="374" t="s">
        <v>295</v>
      </c>
      <c r="L80" s="375" t="s">
        <v>291</v>
      </c>
      <c r="M80" s="384" t="s">
        <v>296</v>
      </c>
      <c r="N80" s="36"/>
      <c r="O80" s="36"/>
      <c r="P80" s="54"/>
      <c r="Q80" s="36"/>
      <c r="R80" s="37"/>
      <c r="S80" s="36"/>
      <c r="T80" s="37"/>
      <c r="U80" s="36"/>
      <c r="V80" s="37"/>
      <c r="W80" s="36"/>
      <c r="X80" s="37"/>
      <c r="Y80" s="36"/>
      <c r="Z80" s="37"/>
      <c r="AA80" s="57"/>
      <c r="AB80" s="54"/>
      <c r="AC80" s="55"/>
      <c r="AD80" s="56"/>
      <c r="AE80" s="57"/>
      <c r="AF80" s="36"/>
    </row>
    <row r="81" spans="2:32" s="32" customFormat="1" x14ac:dyDescent="0.3">
      <c r="B81" s="92"/>
      <c r="C81" s="92"/>
      <c r="D81" s="439"/>
      <c r="E81" s="91"/>
      <c r="F81" s="376"/>
      <c r="G81" s="376"/>
      <c r="H81" s="376"/>
      <c r="I81" s="376"/>
      <c r="J81" s="92"/>
      <c r="K81" s="377" t="s">
        <v>297</v>
      </c>
      <c r="L81" s="378" t="s">
        <v>291</v>
      </c>
      <c r="M81" s="385" t="s">
        <v>298</v>
      </c>
      <c r="N81" s="92"/>
      <c r="O81" s="92"/>
      <c r="P81" s="387"/>
      <c r="Q81" s="92"/>
      <c r="R81" s="101"/>
      <c r="S81" s="92"/>
      <c r="T81" s="101"/>
      <c r="U81" s="92"/>
      <c r="V81" s="101"/>
      <c r="W81" s="92"/>
      <c r="X81" s="101"/>
      <c r="Y81" s="92"/>
      <c r="Z81" s="101"/>
      <c r="AA81" s="388"/>
      <c r="AB81" s="387"/>
      <c r="AC81" s="389"/>
      <c r="AD81" s="390"/>
      <c r="AE81" s="388"/>
      <c r="AF81" s="92"/>
    </row>
    <row r="82" spans="2:32" s="32" customFormat="1" x14ac:dyDescent="0.3">
      <c r="B82" s="36"/>
      <c r="C82" s="36"/>
      <c r="D82" s="434"/>
      <c r="E82" s="33"/>
      <c r="F82" s="34"/>
      <c r="G82" s="34"/>
      <c r="H82" s="34"/>
      <c r="I82" s="34"/>
      <c r="J82" s="36"/>
      <c r="K82" s="46"/>
      <c r="L82" s="46"/>
      <c r="M82" s="362"/>
      <c r="N82" s="36"/>
      <c r="O82" s="36"/>
      <c r="P82" s="54"/>
      <c r="Q82" s="36"/>
      <c r="R82" s="37"/>
      <c r="S82" s="36"/>
      <c r="T82" s="37"/>
      <c r="U82" s="36"/>
      <c r="V82" s="37"/>
      <c r="W82" s="36"/>
      <c r="X82" s="37"/>
      <c r="Y82" s="36"/>
      <c r="Z82" s="37"/>
      <c r="AA82" s="57"/>
      <c r="AB82" s="54"/>
      <c r="AC82" s="55"/>
      <c r="AD82" s="56"/>
      <c r="AE82" s="57"/>
      <c r="AF82" s="36"/>
    </row>
    <row r="83" spans="2:32" s="32" customFormat="1" ht="28.5" x14ac:dyDescent="0.25">
      <c r="B83" s="36"/>
      <c r="C83" s="36"/>
      <c r="D83" s="434"/>
      <c r="E83" s="33">
        <v>1</v>
      </c>
      <c r="F83" s="34">
        <v>1</v>
      </c>
      <c r="G83" s="34">
        <v>1</v>
      </c>
      <c r="H83" s="34">
        <v>1</v>
      </c>
      <c r="I83" s="34">
        <v>13</v>
      </c>
      <c r="J83" s="36" t="s">
        <v>85</v>
      </c>
      <c r="K83" s="374" t="s">
        <v>290</v>
      </c>
      <c r="L83" s="375" t="s">
        <v>291</v>
      </c>
      <c r="M83" s="375" t="s">
        <v>292</v>
      </c>
      <c r="N83" s="36" t="s">
        <v>301</v>
      </c>
      <c r="O83" s="36" t="s">
        <v>301</v>
      </c>
      <c r="P83" s="53">
        <v>168096000</v>
      </c>
      <c r="Q83" s="36" t="s">
        <v>301</v>
      </c>
      <c r="R83" s="47">
        <f>P83+(P83*3%)</f>
        <v>173138880</v>
      </c>
      <c r="S83" s="36" t="s">
        <v>301</v>
      </c>
      <c r="T83" s="47">
        <f>R83+(R83*10%)</f>
        <v>190452768</v>
      </c>
      <c r="U83" s="36" t="s">
        <v>301</v>
      </c>
      <c r="V83" s="47">
        <f>T83+(T83*10%)</f>
        <v>209498044.80000001</v>
      </c>
      <c r="W83" s="36" t="s">
        <v>301</v>
      </c>
      <c r="X83" s="47">
        <f>V83+(V83*10%)</f>
        <v>230447849.28000003</v>
      </c>
      <c r="Y83" s="36" t="s">
        <v>301</v>
      </c>
      <c r="Z83" s="431">
        <f>X83+V83+T83+R83+P83</f>
        <v>971633542.08000004</v>
      </c>
      <c r="AA83" s="52" t="s">
        <v>66</v>
      </c>
      <c r="AB83" s="50">
        <v>250000</v>
      </c>
      <c r="AC83" s="50">
        <f>AB83+(AB83*5%)</f>
        <v>262500</v>
      </c>
      <c r="AD83" s="51" t="s">
        <v>84</v>
      </c>
      <c r="AE83" s="52" t="s">
        <v>81</v>
      </c>
      <c r="AF83" s="36" t="s">
        <v>83</v>
      </c>
    </row>
    <row r="84" spans="2:32" s="32" customFormat="1" ht="71.25" x14ac:dyDescent="0.3">
      <c r="B84" s="36"/>
      <c r="C84" s="36"/>
      <c r="D84" s="434"/>
      <c r="E84" s="33"/>
      <c r="F84" s="34"/>
      <c r="G84" s="34"/>
      <c r="H84" s="34"/>
      <c r="I84" s="34"/>
      <c r="J84" s="36"/>
      <c r="K84" s="374" t="s">
        <v>293</v>
      </c>
      <c r="L84" s="375" t="s">
        <v>291</v>
      </c>
      <c r="M84" s="362" t="s">
        <v>1199</v>
      </c>
      <c r="N84" s="36" t="s">
        <v>1088</v>
      </c>
      <c r="O84" s="36" t="s">
        <v>1088</v>
      </c>
      <c r="P84" s="54"/>
      <c r="Q84" s="36" t="s">
        <v>1088</v>
      </c>
      <c r="R84" s="37"/>
      <c r="S84" s="36" t="s">
        <v>1088</v>
      </c>
      <c r="T84" s="37"/>
      <c r="U84" s="36" t="s">
        <v>1088</v>
      </c>
      <c r="V84" s="37"/>
      <c r="W84" s="36" t="s">
        <v>1088</v>
      </c>
      <c r="X84" s="37"/>
      <c r="Y84" s="36" t="s">
        <v>1088</v>
      </c>
      <c r="Z84" s="37"/>
      <c r="AA84" s="57"/>
      <c r="AB84" s="54"/>
      <c r="AC84" s="55"/>
      <c r="AD84" s="56"/>
      <c r="AE84" s="57"/>
      <c r="AF84" s="36"/>
    </row>
    <row r="85" spans="2:32" s="32" customFormat="1" ht="42.75" x14ac:dyDescent="0.3">
      <c r="B85" s="36"/>
      <c r="C85" s="36"/>
      <c r="D85" s="434"/>
      <c r="E85" s="33"/>
      <c r="F85" s="34"/>
      <c r="G85" s="34"/>
      <c r="H85" s="34"/>
      <c r="I85" s="34"/>
      <c r="J85" s="36"/>
      <c r="K85" s="374" t="s">
        <v>294</v>
      </c>
      <c r="L85" s="375" t="s">
        <v>291</v>
      </c>
      <c r="M85" s="362" t="s">
        <v>1004</v>
      </c>
      <c r="N85" s="41">
        <v>1</v>
      </c>
      <c r="O85" s="41">
        <v>1</v>
      </c>
      <c r="P85" s="54"/>
      <c r="Q85" s="41">
        <v>1</v>
      </c>
      <c r="R85" s="37"/>
      <c r="S85" s="41">
        <v>1</v>
      </c>
      <c r="T85" s="37"/>
      <c r="U85" s="41">
        <v>1</v>
      </c>
      <c r="V85" s="37"/>
      <c r="W85" s="41">
        <v>1</v>
      </c>
      <c r="X85" s="37"/>
      <c r="Y85" s="41">
        <v>1</v>
      </c>
      <c r="Z85" s="37"/>
      <c r="AA85" s="57"/>
      <c r="AB85" s="54"/>
      <c r="AC85" s="55"/>
      <c r="AD85" s="56"/>
      <c r="AE85" s="57"/>
      <c r="AF85" s="36"/>
    </row>
    <row r="86" spans="2:32" s="32" customFormat="1" x14ac:dyDescent="0.3">
      <c r="B86" s="36"/>
      <c r="C86" s="36"/>
      <c r="D86" s="434"/>
      <c r="E86" s="33"/>
      <c r="F86" s="34"/>
      <c r="G86" s="34"/>
      <c r="H86" s="34"/>
      <c r="I86" s="34"/>
      <c r="J86" s="36"/>
      <c r="K86" s="374" t="s">
        <v>295</v>
      </c>
      <c r="L86" s="375" t="s">
        <v>291</v>
      </c>
      <c r="M86" s="384" t="s">
        <v>296</v>
      </c>
      <c r="N86" s="36"/>
      <c r="O86" s="36"/>
      <c r="P86" s="54"/>
      <c r="Q86" s="36"/>
      <c r="R86" s="37"/>
      <c r="S86" s="36"/>
      <c r="T86" s="37"/>
      <c r="U86" s="36"/>
      <c r="V86" s="37"/>
      <c r="W86" s="36"/>
      <c r="X86" s="37"/>
      <c r="Y86" s="36"/>
      <c r="Z86" s="37"/>
      <c r="AA86" s="57"/>
      <c r="AB86" s="54"/>
      <c r="AC86" s="55"/>
      <c r="AD86" s="56"/>
      <c r="AE86" s="57"/>
      <c r="AF86" s="36"/>
    </row>
    <row r="87" spans="2:32" s="32" customFormat="1" x14ac:dyDescent="0.3">
      <c r="B87" s="92"/>
      <c r="C87" s="92"/>
      <c r="D87" s="439"/>
      <c r="E87" s="91"/>
      <c r="F87" s="376"/>
      <c r="G87" s="376"/>
      <c r="H87" s="376"/>
      <c r="I87" s="376"/>
      <c r="J87" s="92"/>
      <c r="K87" s="377" t="s">
        <v>297</v>
      </c>
      <c r="L87" s="378" t="s">
        <v>291</v>
      </c>
      <c r="M87" s="385" t="s">
        <v>298</v>
      </c>
      <c r="N87" s="92"/>
      <c r="O87" s="92"/>
      <c r="P87" s="387"/>
      <c r="Q87" s="92"/>
      <c r="R87" s="101"/>
      <c r="S87" s="92"/>
      <c r="T87" s="101"/>
      <c r="U87" s="92"/>
      <c r="V87" s="101"/>
      <c r="W87" s="92"/>
      <c r="X87" s="101"/>
      <c r="Y87" s="92"/>
      <c r="Z87" s="101"/>
      <c r="AA87" s="388"/>
      <c r="AB87" s="387"/>
      <c r="AC87" s="389"/>
      <c r="AD87" s="390"/>
      <c r="AE87" s="388"/>
      <c r="AF87" s="92"/>
    </row>
    <row r="88" spans="2:32" s="32" customFormat="1" x14ac:dyDescent="0.3">
      <c r="B88" s="36"/>
      <c r="C88" s="36"/>
      <c r="D88" s="434"/>
      <c r="E88" s="33"/>
      <c r="F88" s="34"/>
      <c r="G88" s="34"/>
      <c r="H88" s="34"/>
      <c r="I88" s="34"/>
      <c r="J88" s="36"/>
      <c r="K88" s="46"/>
      <c r="L88" s="46"/>
      <c r="M88" s="362"/>
      <c r="N88" s="36"/>
      <c r="O88" s="36"/>
      <c r="P88" s="54"/>
      <c r="Q88" s="36"/>
      <c r="R88" s="37"/>
      <c r="S88" s="36"/>
      <c r="T88" s="37"/>
      <c r="U88" s="36"/>
      <c r="V88" s="37"/>
      <c r="W88" s="36"/>
      <c r="X88" s="37"/>
      <c r="Y88" s="36"/>
      <c r="Z88" s="37"/>
      <c r="AA88" s="57"/>
      <c r="AB88" s="54"/>
      <c r="AC88" s="55"/>
      <c r="AD88" s="56"/>
      <c r="AE88" s="57"/>
      <c r="AF88" s="36"/>
    </row>
    <row r="89" spans="2:32" s="32" customFormat="1" ht="28.5" x14ac:dyDescent="0.25">
      <c r="B89" s="36"/>
      <c r="C89" s="36"/>
      <c r="D89" s="434"/>
      <c r="E89" s="33">
        <v>1</v>
      </c>
      <c r="F89" s="34">
        <v>1</v>
      </c>
      <c r="G89" s="34">
        <v>1</v>
      </c>
      <c r="H89" s="34">
        <v>1</v>
      </c>
      <c r="I89" s="34">
        <v>15</v>
      </c>
      <c r="J89" s="36" t="s">
        <v>86</v>
      </c>
      <c r="K89" s="374" t="s">
        <v>290</v>
      </c>
      <c r="L89" s="375" t="s">
        <v>291</v>
      </c>
      <c r="M89" s="375" t="s">
        <v>292</v>
      </c>
      <c r="N89" s="36" t="s">
        <v>301</v>
      </c>
      <c r="O89" s="36" t="s">
        <v>301</v>
      </c>
      <c r="P89" s="53">
        <v>297166000</v>
      </c>
      <c r="Q89" s="36" t="s">
        <v>301</v>
      </c>
      <c r="R89" s="47">
        <f>P89+(P89*3%)</f>
        <v>306080980</v>
      </c>
      <c r="S89" s="36" t="s">
        <v>301</v>
      </c>
      <c r="T89" s="47">
        <f>R89+(R89*10%)</f>
        <v>336689078</v>
      </c>
      <c r="U89" s="36" t="s">
        <v>301</v>
      </c>
      <c r="V89" s="47">
        <f>T89+(T89*10%)</f>
        <v>370357985.80000001</v>
      </c>
      <c r="W89" s="36" t="s">
        <v>301</v>
      </c>
      <c r="X89" s="47">
        <f>V89+(V89*10%)</f>
        <v>407393784.38</v>
      </c>
      <c r="Y89" s="36" t="s">
        <v>301</v>
      </c>
      <c r="Z89" s="431">
        <f>X89+V89+T89+R89+P89</f>
        <v>1717687828.1800001</v>
      </c>
      <c r="AA89" s="52" t="s">
        <v>84</v>
      </c>
      <c r="AB89" s="53">
        <v>100000</v>
      </c>
      <c r="AC89" s="50">
        <f>AB89+(AB89*5%)</f>
        <v>105000</v>
      </c>
      <c r="AD89" s="51" t="s">
        <v>66</v>
      </c>
      <c r="AE89" s="52" t="s">
        <v>81</v>
      </c>
      <c r="AF89" s="36" t="s">
        <v>83</v>
      </c>
    </row>
    <row r="90" spans="2:32" s="32" customFormat="1" ht="85.5" x14ac:dyDescent="0.3">
      <c r="B90" s="36"/>
      <c r="C90" s="36"/>
      <c r="D90" s="434"/>
      <c r="E90" s="33"/>
      <c r="F90" s="34"/>
      <c r="G90" s="34"/>
      <c r="H90" s="34"/>
      <c r="I90" s="34"/>
      <c r="J90" s="36"/>
      <c r="K90" s="374" t="s">
        <v>293</v>
      </c>
      <c r="L90" s="375" t="s">
        <v>291</v>
      </c>
      <c r="M90" s="362" t="s">
        <v>300</v>
      </c>
      <c r="N90" s="36" t="s">
        <v>1089</v>
      </c>
      <c r="O90" s="36" t="s">
        <v>1089</v>
      </c>
      <c r="P90" s="54"/>
      <c r="Q90" s="36" t="s">
        <v>1089</v>
      </c>
      <c r="R90" s="37"/>
      <c r="S90" s="36" t="s">
        <v>1089</v>
      </c>
      <c r="T90" s="37"/>
      <c r="U90" s="36" t="s">
        <v>1089</v>
      </c>
      <c r="V90" s="37"/>
      <c r="W90" s="36" t="s">
        <v>1089</v>
      </c>
      <c r="X90" s="37"/>
      <c r="Y90" s="36" t="s">
        <v>1089</v>
      </c>
      <c r="Z90" s="37"/>
      <c r="AA90" s="57"/>
      <c r="AB90" s="54"/>
      <c r="AC90" s="55"/>
      <c r="AD90" s="56"/>
      <c r="AE90" s="57"/>
      <c r="AF90" s="36"/>
    </row>
    <row r="91" spans="2:32" s="32" customFormat="1" ht="28.5" x14ac:dyDescent="0.3">
      <c r="B91" s="36"/>
      <c r="C91" s="36"/>
      <c r="D91" s="434"/>
      <c r="E91" s="33"/>
      <c r="F91" s="34"/>
      <c r="G91" s="34"/>
      <c r="H91" s="34"/>
      <c r="I91" s="34"/>
      <c r="J91" s="36"/>
      <c r="K91" s="374" t="s">
        <v>294</v>
      </c>
      <c r="L91" s="375" t="s">
        <v>291</v>
      </c>
      <c r="M91" s="362" t="s">
        <v>306</v>
      </c>
      <c r="N91" s="41">
        <v>1</v>
      </c>
      <c r="O91" s="41">
        <v>1</v>
      </c>
      <c r="P91" s="54"/>
      <c r="Q91" s="41">
        <v>1</v>
      </c>
      <c r="R91" s="37"/>
      <c r="S91" s="41">
        <v>1</v>
      </c>
      <c r="T91" s="37"/>
      <c r="U91" s="41">
        <v>1</v>
      </c>
      <c r="V91" s="37"/>
      <c r="W91" s="41">
        <v>1</v>
      </c>
      <c r="X91" s="37"/>
      <c r="Y91" s="41">
        <v>1</v>
      </c>
      <c r="Z91" s="37"/>
      <c r="AA91" s="57"/>
      <c r="AB91" s="54"/>
      <c r="AC91" s="55"/>
      <c r="AD91" s="56"/>
      <c r="AE91" s="57"/>
      <c r="AF91" s="36"/>
    </row>
    <row r="92" spans="2:32" s="32" customFormat="1" x14ac:dyDescent="0.3">
      <c r="B92" s="36"/>
      <c r="C92" s="36"/>
      <c r="D92" s="434"/>
      <c r="E92" s="33"/>
      <c r="F92" s="34"/>
      <c r="G92" s="34"/>
      <c r="H92" s="34"/>
      <c r="I92" s="34"/>
      <c r="J92" s="36"/>
      <c r="K92" s="374" t="s">
        <v>295</v>
      </c>
      <c r="L92" s="375" t="s">
        <v>291</v>
      </c>
      <c r="M92" s="384" t="s">
        <v>296</v>
      </c>
      <c r="N92" s="36"/>
      <c r="O92" s="36"/>
      <c r="P92" s="54"/>
      <c r="Q92" s="36"/>
      <c r="R92" s="37"/>
      <c r="S92" s="36"/>
      <c r="T92" s="37"/>
      <c r="U92" s="36"/>
      <c r="V92" s="37"/>
      <c r="W92" s="36"/>
      <c r="X92" s="37"/>
      <c r="Y92" s="36"/>
      <c r="Z92" s="37"/>
      <c r="AA92" s="57"/>
      <c r="AB92" s="54"/>
      <c r="AC92" s="55"/>
      <c r="AD92" s="56"/>
      <c r="AE92" s="57"/>
      <c r="AF92" s="36"/>
    </row>
    <row r="93" spans="2:32" s="32" customFormat="1" x14ac:dyDescent="0.3">
      <c r="B93" s="92"/>
      <c r="C93" s="92"/>
      <c r="D93" s="439"/>
      <c r="E93" s="91"/>
      <c r="F93" s="376"/>
      <c r="G93" s="376"/>
      <c r="H93" s="376"/>
      <c r="I93" s="376"/>
      <c r="J93" s="92"/>
      <c r="K93" s="377" t="s">
        <v>297</v>
      </c>
      <c r="L93" s="378" t="s">
        <v>291</v>
      </c>
      <c r="M93" s="385" t="s">
        <v>298</v>
      </c>
      <c r="N93" s="92"/>
      <c r="O93" s="92"/>
      <c r="P93" s="387"/>
      <c r="Q93" s="92"/>
      <c r="R93" s="101"/>
      <c r="S93" s="92"/>
      <c r="T93" s="101"/>
      <c r="U93" s="92"/>
      <c r="V93" s="101"/>
      <c r="W93" s="92"/>
      <c r="X93" s="101"/>
      <c r="Y93" s="92"/>
      <c r="Z93" s="101"/>
      <c r="AA93" s="388"/>
      <c r="AB93" s="387"/>
      <c r="AC93" s="389"/>
      <c r="AD93" s="390"/>
      <c r="AE93" s="388"/>
      <c r="AF93" s="92"/>
    </row>
    <row r="94" spans="2:32" s="32" customFormat="1" x14ac:dyDescent="0.3">
      <c r="B94" s="36"/>
      <c r="C94" s="36"/>
      <c r="D94" s="434"/>
      <c r="E94" s="33"/>
      <c r="F94" s="34"/>
      <c r="G94" s="34"/>
      <c r="H94" s="34"/>
      <c r="I94" s="34"/>
      <c r="J94" s="36"/>
      <c r="K94" s="46"/>
      <c r="L94" s="46"/>
      <c r="M94" s="362"/>
      <c r="N94" s="36"/>
      <c r="O94" s="36"/>
      <c r="P94" s="54"/>
      <c r="Q94" s="36"/>
      <c r="R94" s="37"/>
      <c r="S94" s="36"/>
      <c r="T94" s="37"/>
      <c r="U94" s="36"/>
      <c r="V94" s="37"/>
      <c r="W94" s="36"/>
      <c r="X94" s="37"/>
      <c r="Y94" s="36"/>
      <c r="Z94" s="37"/>
      <c r="AA94" s="57"/>
      <c r="AB94" s="54"/>
      <c r="AC94" s="55"/>
      <c r="AD94" s="56"/>
      <c r="AE94" s="57"/>
      <c r="AF94" s="36"/>
    </row>
    <row r="95" spans="2:32" s="32" customFormat="1" ht="28.5" x14ac:dyDescent="0.25">
      <c r="B95" s="36"/>
      <c r="C95" s="36"/>
      <c r="D95" s="434"/>
      <c r="E95" s="33">
        <v>1</v>
      </c>
      <c r="F95" s="34">
        <v>1</v>
      </c>
      <c r="G95" s="34">
        <v>1</v>
      </c>
      <c r="H95" s="34">
        <v>1</v>
      </c>
      <c r="I95" s="34">
        <v>16</v>
      </c>
      <c r="J95" s="36" t="s">
        <v>87</v>
      </c>
      <c r="K95" s="374" t="s">
        <v>290</v>
      </c>
      <c r="L95" s="375" t="s">
        <v>291</v>
      </c>
      <c r="M95" s="375" t="s">
        <v>292</v>
      </c>
      <c r="N95" s="36" t="s">
        <v>301</v>
      </c>
      <c r="O95" s="36" t="s">
        <v>301</v>
      </c>
      <c r="P95" s="53">
        <v>646030000</v>
      </c>
      <c r="Q95" s="36" t="s">
        <v>301</v>
      </c>
      <c r="R95" s="47">
        <f>P95+(P95*3%)</f>
        <v>665410900</v>
      </c>
      <c r="S95" s="36" t="s">
        <v>301</v>
      </c>
      <c r="T95" s="47">
        <f>R95+(R95*10%)</f>
        <v>731951990</v>
      </c>
      <c r="U95" s="36" t="s">
        <v>301</v>
      </c>
      <c r="V95" s="47">
        <f>T95+(T95*10%)</f>
        <v>805147189</v>
      </c>
      <c r="W95" s="36" t="s">
        <v>301</v>
      </c>
      <c r="X95" s="47">
        <f>V95+(V95*10%)</f>
        <v>885661907.89999998</v>
      </c>
      <c r="Y95" s="36" t="s">
        <v>301</v>
      </c>
      <c r="Z95" s="431">
        <f>X95+V95+T95+R95+P95</f>
        <v>3734201986.9000001</v>
      </c>
      <c r="AA95" s="52" t="s">
        <v>66</v>
      </c>
      <c r="AB95" s="53">
        <v>155400</v>
      </c>
      <c r="AC95" s="50">
        <f>AB95+(AB95*5%)</f>
        <v>163170</v>
      </c>
      <c r="AD95" s="51" t="s">
        <v>84</v>
      </c>
      <c r="AE95" s="52" t="s">
        <v>81</v>
      </c>
      <c r="AF95" s="36" t="s">
        <v>83</v>
      </c>
    </row>
    <row r="96" spans="2:32" s="32" customFormat="1" ht="171" x14ac:dyDescent="0.3">
      <c r="B96" s="36"/>
      <c r="C96" s="36"/>
      <c r="D96" s="434"/>
      <c r="E96" s="33"/>
      <c r="F96" s="34"/>
      <c r="G96" s="34"/>
      <c r="H96" s="34"/>
      <c r="I96" s="34"/>
      <c r="J96" s="36"/>
      <c r="K96" s="374" t="s">
        <v>293</v>
      </c>
      <c r="L96" s="375" t="s">
        <v>291</v>
      </c>
      <c r="M96" s="362" t="s">
        <v>1200</v>
      </c>
      <c r="N96" s="36" t="s">
        <v>1090</v>
      </c>
      <c r="O96" s="36" t="s">
        <v>1090</v>
      </c>
      <c r="P96" s="54"/>
      <c r="Q96" s="36" t="s">
        <v>1090</v>
      </c>
      <c r="R96" s="37"/>
      <c r="S96" s="36" t="s">
        <v>1090</v>
      </c>
      <c r="T96" s="37"/>
      <c r="U96" s="36" t="s">
        <v>1090</v>
      </c>
      <c r="V96" s="37"/>
      <c r="W96" s="36" t="s">
        <v>1090</v>
      </c>
      <c r="X96" s="37"/>
      <c r="Y96" s="36" t="s">
        <v>1090</v>
      </c>
      <c r="Z96" s="37"/>
      <c r="AA96" s="57"/>
      <c r="AB96" s="54"/>
      <c r="AC96" s="55"/>
      <c r="AD96" s="56"/>
      <c r="AE96" s="57"/>
      <c r="AF96" s="59"/>
    </row>
    <row r="97" spans="2:32" s="32" customFormat="1" ht="28.5" x14ac:dyDescent="0.3">
      <c r="B97" s="36"/>
      <c r="C97" s="36"/>
      <c r="D97" s="434"/>
      <c r="E97" s="33"/>
      <c r="F97" s="34"/>
      <c r="G97" s="34"/>
      <c r="H97" s="34"/>
      <c r="I97" s="34"/>
      <c r="J97" s="36"/>
      <c r="K97" s="374" t="s">
        <v>294</v>
      </c>
      <c r="L97" s="375" t="s">
        <v>291</v>
      </c>
      <c r="M97" s="362" t="s">
        <v>307</v>
      </c>
      <c r="N97" s="41">
        <v>1</v>
      </c>
      <c r="O97" s="41">
        <v>1</v>
      </c>
      <c r="P97" s="54"/>
      <c r="Q97" s="41">
        <v>1</v>
      </c>
      <c r="R97" s="37"/>
      <c r="S97" s="41">
        <v>1</v>
      </c>
      <c r="T97" s="37"/>
      <c r="U97" s="41">
        <v>1</v>
      </c>
      <c r="V97" s="37"/>
      <c r="W97" s="41">
        <v>1</v>
      </c>
      <c r="X97" s="37"/>
      <c r="Y97" s="41">
        <v>1</v>
      </c>
      <c r="Z97" s="37"/>
      <c r="AA97" s="57"/>
      <c r="AB97" s="54"/>
      <c r="AC97" s="55"/>
      <c r="AD97" s="56"/>
      <c r="AE97" s="57"/>
      <c r="AF97" s="59"/>
    </row>
    <row r="98" spans="2:32" s="32" customFormat="1" x14ac:dyDescent="0.3">
      <c r="B98" s="36"/>
      <c r="C98" s="36"/>
      <c r="D98" s="434"/>
      <c r="E98" s="33"/>
      <c r="F98" s="34"/>
      <c r="G98" s="34"/>
      <c r="H98" s="34"/>
      <c r="I98" s="34"/>
      <c r="J98" s="36"/>
      <c r="K98" s="374" t="s">
        <v>295</v>
      </c>
      <c r="L98" s="375" t="s">
        <v>291</v>
      </c>
      <c r="M98" s="384" t="s">
        <v>296</v>
      </c>
      <c r="N98" s="36"/>
      <c r="O98" s="36"/>
      <c r="P98" s="54"/>
      <c r="Q98" s="36"/>
      <c r="R98" s="37"/>
      <c r="S98" s="36"/>
      <c r="T98" s="37"/>
      <c r="U98" s="36"/>
      <c r="V98" s="37"/>
      <c r="W98" s="36"/>
      <c r="X98" s="37"/>
      <c r="Y98" s="36"/>
      <c r="Z98" s="37"/>
      <c r="AA98" s="57"/>
      <c r="AB98" s="54"/>
      <c r="AC98" s="55"/>
      <c r="AD98" s="56"/>
      <c r="AE98" s="57"/>
      <c r="AF98" s="59"/>
    </row>
    <row r="99" spans="2:32" s="32" customFormat="1" x14ac:dyDescent="0.3">
      <c r="B99" s="92"/>
      <c r="C99" s="92"/>
      <c r="D99" s="439"/>
      <c r="E99" s="91"/>
      <c r="F99" s="376"/>
      <c r="G99" s="376"/>
      <c r="H99" s="376"/>
      <c r="I99" s="376"/>
      <c r="J99" s="92"/>
      <c r="K99" s="377" t="s">
        <v>297</v>
      </c>
      <c r="L99" s="378" t="s">
        <v>291</v>
      </c>
      <c r="M99" s="385" t="s">
        <v>298</v>
      </c>
      <c r="N99" s="92"/>
      <c r="O99" s="92"/>
      <c r="P99" s="387"/>
      <c r="Q99" s="92"/>
      <c r="R99" s="101"/>
      <c r="S99" s="92"/>
      <c r="T99" s="101"/>
      <c r="U99" s="92"/>
      <c r="V99" s="101"/>
      <c r="W99" s="92"/>
      <c r="X99" s="101"/>
      <c r="Y99" s="92"/>
      <c r="Z99" s="101"/>
      <c r="AA99" s="388"/>
      <c r="AB99" s="387"/>
      <c r="AC99" s="389"/>
      <c r="AD99" s="390"/>
      <c r="AE99" s="388"/>
      <c r="AF99" s="391"/>
    </row>
    <row r="100" spans="2:32" s="32" customFormat="1" x14ac:dyDescent="0.3">
      <c r="B100" s="36"/>
      <c r="C100" s="36"/>
      <c r="D100" s="434"/>
      <c r="E100" s="33"/>
      <c r="F100" s="34"/>
      <c r="G100" s="34"/>
      <c r="H100" s="34"/>
      <c r="I100" s="34"/>
      <c r="J100" s="36"/>
      <c r="K100" s="46"/>
      <c r="L100" s="46"/>
      <c r="M100" s="362"/>
      <c r="N100" s="36"/>
      <c r="O100" s="36"/>
      <c r="P100" s="54"/>
      <c r="Q100" s="36"/>
      <c r="R100" s="37"/>
      <c r="S100" s="36"/>
      <c r="T100" s="37"/>
      <c r="U100" s="36"/>
      <c r="V100" s="37"/>
      <c r="W100" s="36"/>
      <c r="X100" s="37"/>
      <c r="Y100" s="36"/>
      <c r="Z100" s="37"/>
      <c r="AA100" s="57"/>
      <c r="AB100" s="54"/>
      <c r="AC100" s="55"/>
      <c r="AD100" s="56"/>
      <c r="AE100" s="57"/>
      <c r="AF100" s="59"/>
    </row>
    <row r="101" spans="2:32" s="32" customFormat="1" ht="28.5" x14ac:dyDescent="0.25">
      <c r="B101" s="36"/>
      <c r="C101" s="36"/>
      <c r="D101" s="434"/>
      <c r="E101" s="33">
        <v>1</v>
      </c>
      <c r="F101" s="34">
        <v>1</v>
      </c>
      <c r="G101" s="34">
        <v>1</v>
      </c>
      <c r="H101" s="34">
        <v>1</v>
      </c>
      <c r="I101" s="34">
        <v>17</v>
      </c>
      <c r="J101" s="36" t="s">
        <v>88</v>
      </c>
      <c r="K101" s="374" t="s">
        <v>290</v>
      </c>
      <c r="L101" s="375" t="s">
        <v>291</v>
      </c>
      <c r="M101" s="375" t="s">
        <v>292</v>
      </c>
      <c r="N101" s="36" t="s">
        <v>301</v>
      </c>
      <c r="O101" s="36" t="s">
        <v>301</v>
      </c>
      <c r="P101" s="53">
        <v>8376900000</v>
      </c>
      <c r="Q101" s="36" t="s">
        <v>301</v>
      </c>
      <c r="R101" s="47">
        <f>P101+(P101*3%)</f>
        <v>8628207000</v>
      </c>
      <c r="S101" s="36" t="s">
        <v>301</v>
      </c>
      <c r="T101" s="47">
        <f>R101+(R101*10%)</f>
        <v>9491027700</v>
      </c>
      <c r="U101" s="36" t="s">
        <v>301</v>
      </c>
      <c r="V101" s="47">
        <f>T101+(T101*10%)</f>
        <v>10440130470</v>
      </c>
      <c r="W101" s="36" t="s">
        <v>301</v>
      </c>
      <c r="X101" s="47">
        <f>V101+(V101*10%)</f>
        <v>11484143517</v>
      </c>
      <c r="Y101" s="36" t="s">
        <v>301</v>
      </c>
      <c r="Z101" s="431">
        <f>X101+V101+T101+R101+P101</f>
        <v>48420408687</v>
      </c>
      <c r="AA101" s="52" t="s">
        <v>66</v>
      </c>
      <c r="AB101" s="53">
        <v>540500</v>
      </c>
      <c r="AC101" s="50">
        <f>AB101+(AB101*5%)</f>
        <v>567525</v>
      </c>
      <c r="AD101" s="51" t="s">
        <v>66</v>
      </c>
      <c r="AE101" s="52" t="s">
        <v>81</v>
      </c>
      <c r="AF101" s="36" t="s">
        <v>89</v>
      </c>
    </row>
    <row r="102" spans="2:32" s="32" customFormat="1" ht="199.5" x14ac:dyDescent="0.3">
      <c r="B102" s="36"/>
      <c r="C102" s="36"/>
      <c r="D102" s="434"/>
      <c r="E102" s="33"/>
      <c r="F102" s="34"/>
      <c r="G102" s="34"/>
      <c r="H102" s="34"/>
      <c r="I102" s="34"/>
      <c r="J102" s="36"/>
      <c r="K102" s="374" t="s">
        <v>293</v>
      </c>
      <c r="L102" s="375" t="s">
        <v>291</v>
      </c>
      <c r="M102" s="362" t="s">
        <v>985</v>
      </c>
      <c r="N102" s="36" t="s">
        <v>986</v>
      </c>
      <c r="O102" s="36" t="s">
        <v>986</v>
      </c>
      <c r="P102" s="53"/>
      <c r="Q102" s="36" t="s">
        <v>986</v>
      </c>
      <c r="R102" s="37"/>
      <c r="S102" s="36" t="s">
        <v>986</v>
      </c>
      <c r="T102" s="37"/>
      <c r="U102" s="36" t="s">
        <v>986</v>
      </c>
      <c r="V102" s="37"/>
      <c r="W102" s="36" t="s">
        <v>986</v>
      </c>
      <c r="X102" s="37"/>
      <c r="Y102" s="36" t="s">
        <v>986</v>
      </c>
      <c r="Z102" s="37"/>
      <c r="AA102" s="52" t="s">
        <v>66</v>
      </c>
      <c r="AB102" s="54"/>
      <c r="AC102" s="55"/>
      <c r="AD102" s="56"/>
      <c r="AE102" s="57"/>
      <c r="AF102" s="36"/>
    </row>
    <row r="103" spans="2:32" s="32" customFormat="1" ht="42.75" x14ac:dyDescent="0.25">
      <c r="B103" s="36"/>
      <c r="C103" s="36"/>
      <c r="D103" s="434"/>
      <c r="E103" s="33"/>
      <c r="F103" s="34"/>
      <c r="G103" s="34"/>
      <c r="H103" s="34"/>
      <c r="I103" s="34"/>
      <c r="J103" s="36"/>
      <c r="K103" s="46"/>
      <c r="L103" s="46" t="s">
        <v>291</v>
      </c>
      <c r="M103" s="362" t="s">
        <v>1201</v>
      </c>
      <c r="N103" s="36" t="s">
        <v>1091</v>
      </c>
      <c r="O103" s="36" t="s">
        <v>1091</v>
      </c>
      <c r="P103" s="53"/>
      <c r="Q103" s="36" t="s">
        <v>1091</v>
      </c>
      <c r="R103" s="37"/>
      <c r="S103" s="36" t="s">
        <v>1091</v>
      </c>
      <c r="T103" s="37"/>
      <c r="U103" s="36" t="s">
        <v>1091</v>
      </c>
      <c r="V103" s="37"/>
      <c r="W103" s="36" t="s">
        <v>1091</v>
      </c>
      <c r="X103" s="37"/>
      <c r="Y103" s="36" t="s">
        <v>1091</v>
      </c>
      <c r="Z103" s="37"/>
      <c r="AA103" s="52"/>
      <c r="AB103" s="53">
        <f>835900</f>
        <v>835900</v>
      </c>
      <c r="AC103" s="50">
        <f>AB103</f>
        <v>835900</v>
      </c>
      <c r="AD103" s="51" t="s">
        <v>66</v>
      </c>
      <c r="AE103" s="52" t="s">
        <v>81</v>
      </c>
      <c r="AF103" s="36"/>
    </row>
    <row r="104" spans="2:32" s="32" customFormat="1" ht="28.5" x14ac:dyDescent="0.25">
      <c r="B104" s="36"/>
      <c r="C104" s="36"/>
      <c r="D104" s="434"/>
      <c r="E104" s="33"/>
      <c r="F104" s="34"/>
      <c r="G104" s="34"/>
      <c r="H104" s="34"/>
      <c r="I104" s="34"/>
      <c r="J104" s="36"/>
      <c r="K104" s="374" t="s">
        <v>294</v>
      </c>
      <c r="L104" s="375" t="s">
        <v>291</v>
      </c>
      <c r="M104" s="362" t="s">
        <v>1005</v>
      </c>
      <c r="N104" s="41">
        <v>1</v>
      </c>
      <c r="O104" s="41">
        <v>1</v>
      </c>
      <c r="P104" s="53"/>
      <c r="Q104" s="41">
        <v>1</v>
      </c>
      <c r="R104" s="37"/>
      <c r="S104" s="41">
        <v>1</v>
      </c>
      <c r="T104" s="37"/>
      <c r="U104" s="41">
        <v>1</v>
      </c>
      <c r="V104" s="37"/>
      <c r="W104" s="41">
        <v>1</v>
      </c>
      <c r="X104" s="37"/>
      <c r="Y104" s="41">
        <v>1</v>
      </c>
      <c r="Z104" s="37"/>
      <c r="AA104" s="52"/>
      <c r="AB104" s="53"/>
      <c r="AC104" s="50"/>
      <c r="AD104" s="51"/>
      <c r="AE104" s="52"/>
      <c r="AF104" s="36"/>
    </row>
    <row r="105" spans="2:32" s="32" customFormat="1" ht="28.5" x14ac:dyDescent="0.25">
      <c r="B105" s="36"/>
      <c r="C105" s="36"/>
      <c r="D105" s="434"/>
      <c r="E105" s="33"/>
      <c r="F105" s="34"/>
      <c r="G105" s="34"/>
      <c r="H105" s="34"/>
      <c r="I105" s="34"/>
      <c r="J105" s="36"/>
      <c r="K105" s="374"/>
      <c r="L105" s="375" t="s">
        <v>291</v>
      </c>
      <c r="M105" s="362" t="s">
        <v>1006</v>
      </c>
      <c r="N105" s="41">
        <v>1</v>
      </c>
      <c r="O105" s="41">
        <v>1</v>
      </c>
      <c r="P105" s="53"/>
      <c r="Q105" s="41">
        <v>1</v>
      </c>
      <c r="R105" s="37"/>
      <c r="S105" s="41">
        <v>1</v>
      </c>
      <c r="T105" s="37"/>
      <c r="U105" s="41">
        <v>1</v>
      </c>
      <c r="V105" s="37"/>
      <c r="W105" s="41">
        <v>1</v>
      </c>
      <c r="X105" s="37"/>
      <c r="Y105" s="41">
        <v>1</v>
      </c>
      <c r="Z105" s="37"/>
      <c r="AA105" s="52"/>
      <c r="AB105" s="53"/>
      <c r="AC105" s="50"/>
      <c r="AD105" s="51"/>
      <c r="AE105" s="52"/>
      <c r="AF105" s="36"/>
    </row>
    <row r="106" spans="2:32" s="32" customFormat="1" x14ac:dyDescent="0.3">
      <c r="B106" s="36"/>
      <c r="C106" s="36"/>
      <c r="D106" s="434"/>
      <c r="E106" s="33"/>
      <c r="F106" s="34"/>
      <c r="G106" s="34"/>
      <c r="H106" s="34"/>
      <c r="I106" s="34"/>
      <c r="J106" s="36"/>
      <c r="K106" s="374" t="s">
        <v>295</v>
      </c>
      <c r="L106" s="375" t="s">
        <v>291</v>
      </c>
      <c r="M106" s="384" t="s">
        <v>296</v>
      </c>
      <c r="N106" s="36"/>
      <c r="O106" s="36"/>
      <c r="P106" s="53"/>
      <c r="Q106" s="36"/>
      <c r="R106" s="37"/>
      <c r="S106" s="36"/>
      <c r="T106" s="37"/>
      <c r="U106" s="36"/>
      <c r="V106" s="37"/>
      <c r="W106" s="36"/>
      <c r="X106" s="37"/>
      <c r="Y106" s="36"/>
      <c r="Z106" s="37"/>
      <c r="AA106" s="52"/>
      <c r="AB106" s="53"/>
      <c r="AC106" s="50"/>
      <c r="AD106" s="51"/>
      <c r="AE106" s="52"/>
      <c r="AF106" s="36"/>
    </row>
    <row r="107" spans="2:32" s="32" customFormat="1" x14ac:dyDescent="0.3">
      <c r="B107" s="92"/>
      <c r="C107" s="92"/>
      <c r="D107" s="439"/>
      <c r="E107" s="91"/>
      <c r="F107" s="376"/>
      <c r="G107" s="376"/>
      <c r="H107" s="376"/>
      <c r="I107" s="376"/>
      <c r="J107" s="92"/>
      <c r="K107" s="377" t="s">
        <v>297</v>
      </c>
      <c r="L107" s="378" t="s">
        <v>291</v>
      </c>
      <c r="M107" s="385" t="s">
        <v>298</v>
      </c>
      <c r="N107" s="92"/>
      <c r="O107" s="92"/>
      <c r="P107" s="381"/>
      <c r="Q107" s="92"/>
      <c r="R107" s="101"/>
      <c r="S107" s="92"/>
      <c r="T107" s="101"/>
      <c r="U107" s="92"/>
      <c r="V107" s="101"/>
      <c r="W107" s="92"/>
      <c r="X107" s="101"/>
      <c r="Y107" s="92"/>
      <c r="Z107" s="101"/>
      <c r="AA107" s="95"/>
      <c r="AB107" s="381"/>
      <c r="AC107" s="93"/>
      <c r="AD107" s="94"/>
      <c r="AE107" s="95"/>
      <c r="AF107" s="92"/>
    </row>
    <row r="108" spans="2:32" s="32" customFormat="1" ht="15" x14ac:dyDescent="0.25">
      <c r="B108" s="36"/>
      <c r="C108" s="36"/>
      <c r="D108" s="434"/>
      <c r="E108" s="33"/>
      <c r="F108" s="34"/>
      <c r="G108" s="34"/>
      <c r="H108" s="34"/>
      <c r="I108" s="34"/>
      <c r="J108" s="36"/>
      <c r="K108" s="46"/>
      <c r="L108" s="46"/>
      <c r="M108" s="362"/>
      <c r="N108" s="36"/>
      <c r="O108" s="36"/>
      <c r="P108" s="53"/>
      <c r="Q108" s="36"/>
      <c r="R108" s="37"/>
      <c r="S108" s="36"/>
      <c r="T108" s="37"/>
      <c r="U108" s="36"/>
      <c r="V108" s="37"/>
      <c r="W108" s="36"/>
      <c r="X108" s="37"/>
      <c r="Y108" s="36"/>
      <c r="Z108" s="37"/>
      <c r="AA108" s="52"/>
      <c r="AB108" s="53"/>
      <c r="AC108" s="50"/>
      <c r="AD108" s="51"/>
      <c r="AE108" s="52"/>
      <c r="AF108" s="36"/>
    </row>
    <row r="109" spans="2:32" s="58" customFormat="1" ht="28.5" x14ac:dyDescent="0.25">
      <c r="B109" s="36"/>
      <c r="C109" s="36"/>
      <c r="D109" s="440"/>
      <c r="E109" s="33">
        <v>1</v>
      </c>
      <c r="F109" s="34">
        <v>1</v>
      </c>
      <c r="G109" s="34">
        <v>1</v>
      </c>
      <c r="H109" s="34">
        <v>1</v>
      </c>
      <c r="I109" s="34">
        <v>18</v>
      </c>
      <c r="J109" s="36" t="s">
        <v>90</v>
      </c>
      <c r="K109" s="374" t="s">
        <v>290</v>
      </c>
      <c r="L109" s="375" t="s">
        <v>291</v>
      </c>
      <c r="M109" s="375" t="s">
        <v>292</v>
      </c>
      <c r="N109" s="36" t="s">
        <v>301</v>
      </c>
      <c r="O109" s="36" t="s">
        <v>301</v>
      </c>
      <c r="P109" s="53">
        <v>95410000</v>
      </c>
      <c r="Q109" s="36" t="s">
        <v>301</v>
      </c>
      <c r="R109" s="47">
        <f>P109+(P109*3%)</f>
        <v>98272300</v>
      </c>
      <c r="S109" s="36" t="s">
        <v>301</v>
      </c>
      <c r="T109" s="47">
        <f>R109+(R109*10%)</f>
        <v>108099530</v>
      </c>
      <c r="U109" s="36" t="s">
        <v>301</v>
      </c>
      <c r="V109" s="47">
        <f>T109+(T109*10%)</f>
        <v>118909483</v>
      </c>
      <c r="W109" s="36" t="s">
        <v>301</v>
      </c>
      <c r="X109" s="47">
        <f>V109+(V109*10%)</f>
        <v>130800431.3</v>
      </c>
      <c r="Y109" s="36" t="s">
        <v>301</v>
      </c>
      <c r="Z109" s="431">
        <f>X109+V109+T109+R109+P109</f>
        <v>551491744.29999995</v>
      </c>
      <c r="AA109" s="52" t="str">
        <f>AA102</f>
        <v>Dinas Dikpora</v>
      </c>
      <c r="AB109" s="53">
        <f>(935*150*12)</f>
        <v>1683000</v>
      </c>
      <c r="AC109" s="50">
        <f>AB109</f>
        <v>1683000</v>
      </c>
      <c r="AD109" s="51" t="s">
        <v>66</v>
      </c>
      <c r="AE109" s="52" t="s">
        <v>81</v>
      </c>
      <c r="AF109" s="36" t="s">
        <v>73</v>
      </c>
    </row>
    <row r="110" spans="2:32" s="58" customFormat="1" ht="28.5" x14ac:dyDescent="0.25">
      <c r="B110" s="36"/>
      <c r="C110" s="36"/>
      <c r="D110" s="440"/>
      <c r="E110" s="33"/>
      <c r="F110" s="34"/>
      <c r="G110" s="34"/>
      <c r="H110" s="34"/>
      <c r="I110" s="34"/>
      <c r="J110" s="36"/>
      <c r="K110" s="374" t="s">
        <v>293</v>
      </c>
      <c r="L110" s="375" t="s">
        <v>291</v>
      </c>
      <c r="M110" s="362" t="s">
        <v>990</v>
      </c>
      <c r="N110" s="36" t="s">
        <v>991</v>
      </c>
      <c r="O110" s="36" t="s">
        <v>991</v>
      </c>
      <c r="P110" s="60"/>
      <c r="Q110" s="36" t="s">
        <v>991</v>
      </c>
      <c r="R110" s="37"/>
      <c r="S110" s="36" t="s">
        <v>991</v>
      </c>
      <c r="T110" s="37"/>
      <c r="U110" s="36" t="s">
        <v>991</v>
      </c>
      <c r="V110" s="37"/>
      <c r="W110" s="36" t="s">
        <v>991</v>
      </c>
      <c r="X110" s="37"/>
      <c r="Y110" s="36" t="s">
        <v>991</v>
      </c>
      <c r="Z110" s="37"/>
      <c r="AA110" s="57"/>
      <c r="AB110" s="53"/>
      <c r="AC110" s="50"/>
      <c r="AD110" s="51"/>
      <c r="AE110" s="52"/>
      <c r="AF110" s="36"/>
    </row>
    <row r="111" spans="2:32" s="58" customFormat="1" ht="42.75" x14ac:dyDescent="0.25">
      <c r="B111" s="36"/>
      <c r="C111" s="36"/>
      <c r="D111" s="440"/>
      <c r="E111" s="33"/>
      <c r="F111" s="34"/>
      <c r="G111" s="34"/>
      <c r="H111" s="34"/>
      <c r="I111" s="34"/>
      <c r="J111" s="36"/>
      <c r="K111" s="374" t="s">
        <v>294</v>
      </c>
      <c r="L111" s="375" t="s">
        <v>291</v>
      </c>
      <c r="M111" s="362" t="s">
        <v>1007</v>
      </c>
      <c r="N111" s="41">
        <v>1</v>
      </c>
      <c r="O111" s="41">
        <v>1</v>
      </c>
      <c r="P111" s="60"/>
      <c r="Q111" s="41">
        <v>1</v>
      </c>
      <c r="R111" s="37"/>
      <c r="S111" s="41">
        <v>1</v>
      </c>
      <c r="T111" s="37"/>
      <c r="U111" s="41">
        <v>1</v>
      </c>
      <c r="V111" s="37"/>
      <c r="W111" s="41">
        <v>1</v>
      </c>
      <c r="X111" s="37"/>
      <c r="Y111" s="41">
        <v>1</v>
      </c>
      <c r="Z111" s="37"/>
      <c r="AA111" s="57"/>
      <c r="AB111" s="53"/>
      <c r="AC111" s="50"/>
      <c r="AD111" s="51"/>
      <c r="AE111" s="52"/>
      <c r="AF111" s="36"/>
    </row>
    <row r="112" spans="2:32" s="58" customFormat="1" x14ac:dyDescent="0.3">
      <c r="B112" s="36"/>
      <c r="C112" s="36"/>
      <c r="D112" s="440"/>
      <c r="E112" s="33"/>
      <c r="F112" s="34"/>
      <c r="G112" s="34"/>
      <c r="H112" s="34"/>
      <c r="I112" s="34"/>
      <c r="J112" s="36"/>
      <c r="K112" s="374" t="s">
        <v>295</v>
      </c>
      <c r="L112" s="375" t="s">
        <v>291</v>
      </c>
      <c r="M112" s="384" t="s">
        <v>296</v>
      </c>
      <c r="N112" s="36"/>
      <c r="O112" s="36"/>
      <c r="P112" s="60"/>
      <c r="Q112" s="36"/>
      <c r="R112" s="37"/>
      <c r="S112" s="36"/>
      <c r="T112" s="37"/>
      <c r="U112" s="36"/>
      <c r="V112" s="37"/>
      <c r="W112" s="36"/>
      <c r="X112" s="37"/>
      <c r="Y112" s="36"/>
      <c r="Z112" s="37"/>
      <c r="AA112" s="57"/>
      <c r="AB112" s="53"/>
      <c r="AC112" s="50"/>
      <c r="AD112" s="51"/>
      <c r="AE112" s="52"/>
      <c r="AF112" s="36"/>
    </row>
    <row r="113" spans="2:32" s="58" customFormat="1" x14ac:dyDescent="0.3">
      <c r="B113" s="92"/>
      <c r="C113" s="92"/>
      <c r="D113" s="437"/>
      <c r="E113" s="91"/>
      <c r="F113" s="376"/>
      <c r="G113" s="376"/>
      <c r="H113" s="376"/>
      <c r="I113" s="376"/>
      <c r="J113" s="92"/>
      <c r="K113" s="377" t="s">
        <v>297</v>
      </c>
      <c r="L113" s="378" t="s">
        <v>291</v>
      </c>
      <c r="M113" s="385" t="s">
        <v>298</v>
      </c>
      <c r="N113" s="92"/>
      <c r="O113" s="92"/>
      <c r="P113" s="392"/>
      <c r="Q113" s="92"/>
      <c r="R113" s="101"/>
      <c r="S113" s="92"/>
      <c r="T113" s="101"/>
      <c r="U113" s="92"/>
      <c r="V113" s="101"/>
      <c r="W113" s="92"/>
      <c r="X113" s="101"/>
      <c r="Y113" s="92"/>
      <c r="Z113" s="101"/>
      <c r="AA113" s="388"/>
      <c r="AB113" s="381"/>
      <c r="AC113" s="93"/>
      <c r="AD113" s="94"/>
      <c r="AE113" s="95"/>
      <c r="AF113" s="92"/>
    </row>
    <row r="114" spans="2:32" s="58" customFormat="1" ht="15" x14ac:dyDescent="0.25">
      <c r="B114" s="36"/>
      <c r="C114" s="36"/>
      <c r="D114" s="440"/>
      <c r="E114" s="33"/>
      <c r="F114" s="34"/>
      <c r="G114" s="34"/>
      <c r="H114" s="34"/>
      <c r="I114" s="34"/>
      <c r="J114" s="36"/>
      <c r="K114" s="46"/>
      <c r="L114" s="46"/>
      <c r="M114" s="362"/>
      <c r="N114" s="36"/>
      <c r="O114" s="36"/>
      <c r="P114" s="60"/>
      <c r="Q114" s="36"/>
      <c r="R114" s="37"/>
      <c r="S114" s="36"/>
      <c r="T114" s="37"/>
      <c r="U114" s="36"/>
      <c r="V114" s="37"/>
      <c r="W114" s="36"/>
      <c r="X114" s="37"/>
      <c r="Y114" s="36"/>
      <c r="Z114" s="37"/>
      <c r="AA114" s="57"/>
      <c r="AB114" s="53"/>
      <c r="AC114" s="50"/>
      <c r="AD114" s="51"/>
      <c r="AE114" s="52"/>
      <c r="AF114" s="36"/>
    </row>
    <row r="115" spans="2:32" s="32" customFormat="1" ht="114" x14ac:dyDescent="0.25">
      <c r="B115" s="453" t="s">
        <v>1555</v>
      </c>
      <c r="C115" s="453" t="s">
        <v>1556</v>
      </c>
      <c r="D115" s="27" t="s">
        <v>1065</v>
      </c>
      <c r="E115" s="26">
        <v>1</v>
      </c>
      <c r="F115" s="38">
        <v>1</v>
      </c>
      <c r="G115" s="38">
        <v>1</v>
      </c>
      <c r="H115" s="38">
        <v>2</v>
      </c>
      <c r="I115" s="38"/>
      <c r="J115" s="27" t="s">
        <v>91</v>
      </c>
      <c r="K115" s="499" t="s">
        <v>313</v>
      </c>
      <c r="L115" s="500"/>
      <c r="M115" s="501"/>
      <c r="N115" s="41">
        <v>1</v>
      </c>
      <c r="O115" s="41">
        <v>1</v>
      </c>
      <c r="P115" s="61">
        <f>SUM(P117:P159)</f>
        <v>4928410000</v>
      </c>
      <c r="Q115" s="41">
        <v>1</v>
      </c>
      <c r="R115" s="61">
        <f>SUM(R117:R159)</f>
        <v>5421251000</v>
      </c>
      <c r="S115" s="41">
        <v>1</v>
      </c>
      <c r="T115" s="61">
        <f>SUM(T117:T159)</f>
        <v>5963376100</v>
      </c>
      <c r="U115" s="41">
        <v>1</v>
      </c>
      <c r="V115" s="61">
        <f>SUM(V117:V159)</f>
        <v>6559713710</v>
      </c>
      <c r="W115" s="41">
        <v>1</v>
      </c>
      <c r="X115" s="61">
        <f>SUM(X117:X159)</f>
        <v>7215685081</v>
      </c>
      <c r="Y115" s="41">
        <v>1</v>
      </c>
      <c r="Z115" s="430">
        <f>X115+V115+T115+R115+P115</f>
        <v>30088435891</v>
      </c>
      <c r="AA115" s="57"/>
      <c r="AB115" s="53">
        <v>57000</v>
      </c>
      <c r="AC115" s="50">
        <f>AB115</f>
        <v>57000</v>
      </c>
      <c r="AD115" s="51" t="str">
        <f>AD109</f>
        <v>Dinas Dikpora</v>
      </c>
      <c r="AE115" s="52" t="s">
        <v>67</v>
      </c>
      <c r="AF115" s="40" t="s">
        <v>92</v>
      </c>
    </row>
    <row r="116" spans="2:32" s="32" customFormat="1" ht="15" x14ac:dyDescent="0.25">
      <c r="B116" s="453"/>
      <c r="C116" s="453"/>
      <c r="D116" s="434"/>
      <c r="E116" s="26"/>
      <c r="F116" s="38"/>
      <c r="G116" s="38"/>
      <c r="H116" s="38"/>
      <c r="I116" s="38"/>
      <c r="J116" s="27"/>
      <c r="K116" s="39"/>
      <c r="L116" s="39"/>
      <c r="M116" s="362"/>
      <c r="N116" s="41"/>
      <c r="O116" s="41"/>
      <c r="P116" s="62"/>
      <c r="Q116" s="428"/>
      <c r="R116" s="37"/>
      <c r="S116" s="428"/>
      <c r="T116" s="37"/>
      <c r="U116" s="428"/>
      <c r="V116" s="37"/>
      <c r="W116" s="428"/>
      <c r="X116" s="37"/>
      <c r="Y116" s="428"/>
      <c r="Z116" s="37"/>
      <c r="AA116" s="57"/>
      <c r="AB116" s="60"/>
      <c r="AC116" s="55"/>
      <c r="AD116" s="56"/>
      <c r="AE116" s="57"/>
      <c r="AF116" s="27"/>
    </row>
    <row r="117" spans="2:32" s="32" customFormat="1" ht="42.75" x14ac:dyDescent="0.25">
      <c r="B117" s="453"/>
      <c r="C117" s="453"/>
      <c r="D117" s="434"/>
      <c r="E117" s="33">
        <v>1</v>
      </c>
      <c r="F117" s="34">
        <v>1</v>
      </c>
      <c r="G117" s="34">
        <v>1</v>
      </c>
      <c r="H117" s="34">
        <v>2</v>
      </c>
      <c r="I117" s="34">
        <v>2</v>
      </c>
      <c r="J117" s="36" t="s">
        <v>93</v>
      </c>
      <c r="K117" s="374" t="s">
        <v>290</v>
      </c>
      <c r="L117" s="375" t="s">
        <v>291</v>
      </c>
      <c r="M117" s="375" t="s">
        <v>292</v>
      </c>
      <c r="N117" s="36" t="s">
        <v>301</v>
      </c>
      <c r="O117" s="36" t="s">
        <v>301</v>
      </c>
      <c r="P117" s="53">
        <f>1402487500+556740100</f>
        <v>1959227600</v>
      </c>
      <c r="Q117" s="36" t="s">
        <v>301</v>
      </c>
      <c r="R117" s="431">
        <f>P117+(P117*10%)</f>
        <v>2155150360</v>
      </c>
      <c r="S117" s="36" t="s">
        <v>301</v>
      </c>
      <c r="T117" s="431">
        <f>R117+(R117*10%)</f>
        <v>2370665396</v>
      </c>
      <c r="U117" s="36" t="s">
        <v>301</v>
      </c>
      <c r="V117" s="431">
        <f>T117+(T117*10%)</f>
        <v>2607731935.5999999</v>
      </c>
      <c r="W117" s="36" t="s">
        <v>301</v>
      </c>
      <c r="X117" s="431">
        <f>V117+(V117*10%)</f>
        <v>2868505129.1599998</v>
      </c>
      <c r="Y117" s="36" t="s">
        <v>301</v>
      </c>
      <c r="Z117" s="431">
        <f>X117+V117+T117+R117+P117</f>
        <v>11961280420.76</v>
      </c>
      <c r="AA117" s="52" t="s">
        <v>66</v>
      </c>
      <c r="AB117" s="61">
        <f>SUM(AB123:AB165)</f>
        <v>3478000</v>
      </c>
      <c r="AC117" s="61">
        <f>SUM(AC123:AC165)</f>
        <v>2412350</v>
      </c>
      <c r="AD117" s="56"/>
      <c r="AE117" s="57"/>
      <c r="AF117" s="36" t="s">
        <v>94</v>
      </c>
    </row>
    <row r="118" spans="2:32" s="32" customFormat="1" ht="71.25" x14ac:dyDescent="0.3">
      <c r="B118" s="453"/>
      <c r="C118" s="453"/>
      <c r="D118" s="434"/>
      <c r="E118" s="33"/>
      <c r="F118" s="34"/>
      <c r="G118" s="34"/>
      <c r="H118" s="34"/>
      <c r="I118" s="34"/>
      <c r="J118" s="36"/>
      <c r="K118" s="374" t="s">
        <v>293</v>
      </c>
      <c r="L118" s="375" t="s">
        <v>291</v>
      </c>
      <c r="M118" s="362" t="s">
        <v>1202</v>
      </c>
      <c r="N118" s="36" t="s">
        <v>1092</v>
      </c>
      <c r="O118" s="36" t="s">
        <v>1092</v>
      </c>
      <c r="P118" s="54"/>
      <c r="Q118" s="36" t="s">
        <v>1092</v>
      </c>
      <c r="R118" s="35"/>
      <c r="S118" s="36" t="s">
        <v>1092</v>
      </c>
      <c r="T118" s="35"/>
      <c r="U118" s="36" t="s">
        <v>1092</v>
      </c>
      <c r="V118" s="35"/>
      <c r="W118" s="36" t="s">
        <v>1092</v>
      </c>
      <c r="X118" s="35"/>
      <c r="Y118" s="36" t="s">
        <v>1092</v>
      </c>
      <c r="Z118" s="35"/>
      <c r="AA118" s="57"/>
      <c r="AB118" s="62"/>
      <c r="AC118" s="55"/>
      <c r="AD118" s="56"/>
      <c r="AE118" s="57"/>
      <c r="AF118" s="36"/>
    </row>
    <row r="119" spans="2:32" s="32" customFormat="1" ht="28.5" x14ac:dyDescent="0.3">
      <c r="B119" s="453"/>
      <c r="C119" s="453"/>
      <c r="D119" s="434"/>
      <c r="E119" s="33"/>
      <c r="F119" s="34"/>
      <c r="G119" s="34"/>
      <c r="H119" s="34"/>
      <c r="I119" s="34"/>
      <c r="J119" s="36"/>
      <c r="K119" s="374" t="s">
        <v>294</v>
      </c>
      <c r="L119" s="375" t="s">
        <v>291</v>
      </c>
      <c r="M119" s="362" t="s">
        <v>322</v>
      </c>
      <c r="N119" s="41">
        <v>1</v>
      </c>
      <c r="O119" s="41">
        <v>1</v>
      </c>
      <c r="P119" s="54"/>
      <c r="Q119" s="41">
        <v>1</v>
      </c>
      <c r="R119" s="27"/>
      <c r="S119" s="41">
        <v>1</v>
      </c>
      <c r="T119" s="27"/>
      <c r="U119" s="41">
        <v>1</v>
      </c>
      <c r="V119" s="27"/>
      <c r="W119" s="41">
        <v>1</v>
      </c>
      <c r="X119" s="27"/>
      <c r="Y119" s="41">
        <v>1</v>
      </c>
      <c r="Z119" s="27"/>
      <c r="AA119" s="57"/>
      <c r="AB119" s="62"/>
      <c r="AC119" s="55"/>
      <c r="AD119" s="56"/>
      <c r="AE119" s="57"/>
      <c r="AF119" s="36"/>
    </row>
    <row r="120" spans="2:32" s="32" customFormat="1" x14ac:dyDescent="0.3">
      <c r="B120" s="453"/>
      <c r="C120" s="453"/>
      <c r="D120" s="434"/>
      <c r="E120" s="33"/>
      <c r="F120" s="34"/>
      <c r="G120" s="34"/>
      <c r="H120" s="34"/>
      <c r="I120" s="34"/>
      <c r="J120" s="36"/>
      <c r="K120" s="374" t="s">
        <v>295</v>
      </c>
      <c r="L120" s="375" t="s">
        <v>291</v>
      </c>
      <c r="M120" s="384" t="s">
        <v>1390</v>
      </c>
      <c r="N120" s="36"/>
      <c r="O120" s="36"/>
      <c r="P120" s="54"/>
      <c r="Q120" s="36"/>
      <c r="R120" s="27"/>
      <c r="S120" s="36"/>
      <c r="T120" s="27"/>
      <c r="U120" s="36"/>
      <c r="V120" s="27"/>
      <c r="W120" s="36"/>
      <c r="X120" s="27"/>
      <c r="Y120" s="36"/>
      <c r="Z120" s="27"/>
      <c r="AA120" s="57"/>
      <c r="AB120" s="62"/>
      <c r="AC120" s="55"/>
      <c r="AD120" s="56"/>
      <c r="AE120" s="57"/>
      <c r="AF120" s="36"/>
    </row>
    <row r="121" spans="2:32" s="32" customFormat="1" x14ac:dyDescent="0.3">
      <c r="B121" s="453"/>
      <c r="C121" s="453"/>
      <c r="D121" s="439"/>
      <c r="E121" s="91"/>
      <c r="F121" s="376"/>
      <c r="G121" s="376"/>
      <c r="H121" s="376"/>
      <c r="I121" s="376"/>
      <c r="J121" s="92"/>
      <c r="K121" s="377" t="s">
        <v>297</v>
      </c>
      <c r="L121" s="378" t="s">
        <v>291</v>
      </c>
      <c r="M121" s="385" t="s">
        <v>298</v>
      </c>
      <c r="N121" s="92"/>
      <c r="O121" s="92"/>
      <c r="P121" s="387"/>
      <c r="Q121" s="92"/>
      <c r="R121" s="393"/>
      <c r="S121" s="92"/>
      <c r="T121" s="393"/>
      <c r="U121" s="92"/>
      <c r="V121" s="393"/>
      <c r="W121" s="92"/>
      <c r="X121" s="393"/>
      <c r="Y121" s="92"/>
      <c r="Z121" s="393"/>
      <c r="AA121" s="388"/>
      <c r="AB121" s="394"/>
      <c r="AC121" s="389"/>
      <c r="AD121" s="390"/>
      <c r="AE121" s="388"/>
      <c r="AF121" s="92"/>
    </row>
    <row r="122" spans="2:32" s="32" customFormat="1" x14ac:dyDescent="0.3">
      <c r="B122" s="454"/>
      <c r="C122" s="454"/>
      <c r="D122" s="434"/>
      <c r="E122" s="33"/>
      <c r="F122" s="34"/>
      <c r="G122" s="34"/>
      <c r="H122" s="34"/>
      <c r="I122" s="34"/>
      <c r="J122" s="36"/>
      <c r="K122" s="46"/>
      <c r="L122" s="46"/>
      <c r="M122" s="362"/>
      <c r="N122" s="36"/>
      <c r="O122" s="36"/>
      <c r="P122" s="54"/>
      <c r="Q122" s="36"/>
      <c r="R122" s="27"/>
      <c r="S122" s="36"/>
      <c r="T122" s="27"/>
      <c r="U122" s="36"/>
      <c r="V122" s="27"/>
      <c r="W122" s="36"/>
      <c r="X122" s="27"/>
      <c r="Y122" s="36"/>
      <c r="Z122" s="27"/>
      <c r="AA122" s="57"/>
      <c r="AB122" s="62"/>
      <c r="AC122" s="55"/>
      <c r="AD122" s="56"/>
      <c r="AE122" s="57"/>
      <c r="AF122" s="36"/>
    </row>
    <row r="123" spans="2:32" s="32" customFormat="1" ht="28.5" x14ac:dyDescent="0.25">
      <c r="B123" s="453"/>
      <c r="C123" s="453"/>
      <c r="D123" s="434"/>
      <c r="E123" s="33">
        <v>1</v>
      </c>
      <c r="F123" s="34">
        <v>1</v>
      </c>
      <c r="G123" s="34">
        <v>1</v>
      </c>
      <c r="H123" s="34">
        <v>2</v>
      </c>
      <c r="I123" s="34">
        <v>5</v>
      </c>
      <c r="J123" s="36" t="s">
        <v>95</v>
      </c>
      <c r="K123" s="374" t="s">
        <v>290</v>
      </c>
      <c r="L123" s="375" t="s">
        <v>291</v>
      </c>
      <c r="M123" s="375" t="s">
        <v>292</v>
      </c>
      <c r="N123" s="36" t="s">
        <v>301</v>
      </c>
      <c r="O123" s="36" t="s">
        <v>301</v>
      </c>
      <c r="P123" s="53">
        <v>437135000</v>
      </c>
      <c r="Q123" s="36" t="s">
        <v>301</v>
      </c>
      <c r="R123" s="431">
        <f>P123+(P123*10%)</f>
        <v>480848500</v>
      </c>
      <c r="S123" s="36" t="s">
        <v>301</v>
      </c>
      <c r="T123" s="431">
        <f>R123+(R123*10%)</f>
        <v>528933350</v>
      </c>
      <c r="U123" s="36" t="s">
        <v>301</v>
      </c>
      <c r="V123" s="431">
        <f>T123+(T123*10%)</f>
        <v>581826685</v>
      </c>
      <c r="W123" s="36" t="s">
        <v>301</v>
      </c>
      <c r="X123" s="431">
        <f>V123+(V123*10%)</f>
        <v>640009353.5</v>
      </c>
      <c r="Y123" s="36" t="s">
        <v>301</v>
      </c>
      <c r="Z123" s="431">
        <f>X123+V123+T123+R123+P123</f>
        <v>2668752888.5</v>
      </c>
      <c r="AA123" s="52" t="s">
        <v>84</v>
      </c>
      <c r="AB123" s="53">
        <v>950000</v>
      </c>
      <c r="AC123" s="50">
        <v>300000</v>
      </c>
      <c r="AD123" s="51" t="s">
        <v>66</v>
      </c>
      <c r="AE123" s="52" t="s">
        <v>81</v>
      </c>
      <c r="AF123" s="36" t="s">
        <v>83</v>
      </c>
    </row>
    <row r="124" spans="2:32" s="58" customFormat="1" ht="370.5" x14ac:dyDescent="0.3">
      <c r="B124" s="36"/>
      <c r="C124" s="36"/>
      <c r="D124" s="440"/>
      <c r="E124" s="33"/>
      <c r="F124" s="34"/>
      <c r="G124" s="34"/>
      <c r="H124" s="34"/>
      <c r="I124" s="34"/>
      <c r="J124" s="36"/>
      <c r="K124" s="374" t="s">
        <v>293</v>
      </c>
      <c r="L124" s="375" t="s">
        <v>291</v>
      </c>
      <c r="M124" s="362" t="s">
        <v>316</v>
      </c>
      <c r="N124" s="36" t="s">
        <v>1093</v>
      </c>
      <c r="O124" s="36" t="s">
        <v>1093</v>
      </c>
      <c r="P124" s="54"/>
      <c r="Q124" s="36" t="s">
        <v>1093</v>
      </c>
      <c r="R124" s="36"/>
      <c r="S124" s="36" t="s">
        <v>1093</v>
      </c>
      <c r="T124" s="36"/>
      <c r="U124" s="36" t="s">
        <v>1093</v>
      </c>
      <c r="V124" s="36"/>
      <c r="W124" s="36" t="s">
        <v>1093</v>
      </c>
      <c r="X124" s="36"/>
      <c r="Y124" s="36" t="s">
        <v>1093</v>
      </c>
      <c r="Z124" s="36"/>
      <c r="AA124" s="57"/>
      <c r="AB124" s="54"/>
      <c r="AC124" s="55"/>
      <c r="AD124" s="56"/>
      <c r="AE124" s="57"/>
      <c r="AF124" s="36"/>
    </row>
    <row r="125" spans="2:32" s="58" customFormat="1" ht="42.75" x14ac:dyDescent="0.3">
      <c r="B125" s="36"/>
      <c r="C125" s="36"/>
      <c r="D125" s="440"/>
      <c r="E125" s="33"/>
      <c r="F125" s="34"/>
      <c r="G125" s="34"/>
      <c r="H125" s="34"/>
      <c r="I125" s="34"/>
      <c r="J125" s="36"/>
      <c r="K125" s="374" t="s">
        <v>294</v>
      </c>
      <c r="L125" s="375" t="s">
        <v>291</v>
      </c>
      <c r="M125" s="362" t="s">
        <v>323</v>
      </c>
      <c r="N125" s="41">
        <v>1</v>
      </c>
      <c r="O125" s="41">
        <v>1</v>
      </c>
      <c r="P125" s="54"/>
      <c r="Q125" s="41">
        <v>1</v>
      </c>
      <c r="R125" s="36"/>
      <c r="S125" s="41">
        <v>1</v>
      </c>
      <c r="T125" s="36"/>
      <c r="U125" s="41">
        <v>1</v>
      </c>
      <c r="V125" s="36"/>
      <c r="W125" s="41">
        <v>1</v>
      </c>
      <c r="X125" s="36"/>
      <c r="Y125" s="41">
        <v>1</v>
      </c>
      <c r="Z125" s="36"/>
      <c r="AA125" s="57"/>
      <c r="AB125" s="54"/>
      <c r="AC125" s="55"/>
      <c r="AD125" s="56"/>
      <c r="AE125" s="57"/>
      <c r="AF125" s="36"/>
    </row>
    <row r="126" spans="2:32" s="58" customFormat="1" x14ac:dyDescent="0.3">
      <c r="B126" s="36"/>
      <c r="C126" s="36"/>
      <c r="D126" s="440"/>
      <c r="E126" s="33"/>
      <c r="F126" s="34"/>
      <c r="G126" s="34"/>
      <c r="H126" s="34"/>
      <c r="I126" s="34"/>
      <c r="J126" s="36"/>
      <c r="K126" s="374" t="s">
        <v>295</v>
      </c>
      <c r="L126" s="375" t="s">
        <v>291</v>
      </c>
      <c r="M126" s="384" t="s">
        <v>1390</v>
      </c>
      <c r="N126" s="36"/>
      <c r="O126" s="36"/>
      <c r="P126" s="54"/>
      <c r="Q126" s="36"/>
      <c r="R126" s="36"/>
      <c r="S126" s="36"/>
      <c r="T126" s="36"/>
      <c r="U126" s="36"/>
      <c r="V126" s="36"/>
      <c r="W126" s="36"/>
      <c r="X126" s="36"/>
      <c r="Y126" s="36"/>
      <c r="Z126" s="36"/>
      <c r="AA126" s="57"/>
      <c r="AB126" s="54"/>
      <c r="AC126" s="55"/>
      <c r="AD126" s="56"/>
      <c r="AE126" s="57"/>
      <c r="AF126" s="36"/>
    </row>
    <row r="127" spans="2:32" s="58" customFormat="1" x14ac:dyDescent="0.3">
      <c r="B127" s="92"/>
      <c r="C127" s="92"/>
      <c r="D127" s="437"/>
      <c r="E127" s="91"/>
      <c r="F127" s="376"/>
      <c r="G127" s="376"/>
      <c r="H127" s="376"/>
      <c r="I127" s="376"/>
      <c r="J127" s="92"/>
      <c r="K127" s="377" t="s">
        <v>297</v>
      </c>
      <c r="L127" s="378" t="s">
        <v>291</v>
      </c>
      <c r="M127" s="385" t="s">
        <v>298</v>
      </c>
      <c r="N127" s="92"/>
      <c r="O127" s="92"/>
      <c r="P127" s="387"/>
      <c r="Q127" s="92"/>
      <c r="R127" s="92"/>
      <c r="S127" s="92"/>
      <c r="T127" s="92"/>
      <c r="U127" s="92"/>
      <c r="V127" s="92"/>
      <c r="W127" s="92"/>
      <c r="X127" s="92"/>
      <c r="Y127" s="92"/>
      <c r="Z127" s="92"/>
      <c r="AA127" s="388"/>
      <c r="AB127" s="387"/>
      <c r="AC127" s="389"/>
      <c r="AD127" s="390"/>
      <c r="AE127" s="388"/>
      <c r="AF127" s="92"/>
    </row>
    <row r="128" spans="2:32" s="58" customFormat="1" x14ac:dyDescent="0.3">
      <c r="B128" s="36"/>
      <c r="C128" s="36"/>
      <c r="D128" s="440"/>
      <c r="E128" s="33"/>
      <c r="F128" s="34"/>
      <c r="G128" s="34"/>
      <c r="H128" s="34"/>
      <c r="I128" s="34"/>
      <c r="J128" s="36"/>
      <c r="K128" s="46"/>
      <c r="L128" s="46"/>
      <c r="M128" s="362"/>
      <c r="N128" s="36"/>
      <c r="O128" s="36"/>
      <c r="P128" s="54"/>
      <c r="Q128" s="36"/>
      <c r="R128" s="36"/>
      <c r="S128" s="36"/>
      <c r="T128" s="36"/>
      <c r="U128" s="36"/>
      <c r="V128" s="36"/>
      <c r="W128" s="36"/>
      <c r="X128" s="36"/>
      <c r="Y128" s="36"/>
      <c r="Z128" s="36"/>
      <c r="AA128" s="57"/>
      <c r="AB128" s="54"/>
      <c r="AC128" s="55"/>
      <c r="AD128" s="56"/>
      <c r="AE128" s="57"/>
      <c r="AF128" s="36"/>
    </row>
    <row r="129" spans="2:32" s="32" customFormat="1" ht="28.5" x14ac:dyDescent="0.25">
      <c r="B129" s="36"/>
      <c r="C129" s="36"/>
      <c r="D129" s="434"/>
      <c r="E129" s="33">
        <v>1</v>
      </c>
      <c r="F129" s="34">
        <v>1</v>
      </c>
      <c r="G129" s="34">
        <v>1</v>
      </c>
      <c r="H129" s="34">
        <v>2</v>
      </c>
      <c r="I129" s="34">
        <v>8</v>
      </c>
      <c r="J129" s="36" t="s">
        <v>96</v>
      </c>
      <c r="K129" s="374" t="s">
        <v>290</v>
      </c>
      <c r="L129" s="375" t="s">
        <v>291</v>
      </c>
      <c r="M129" s="375" t="s">
        <v>292</v>
      </c>
      <c r="N129" s="36" t="s">
        <v>301</v>
      </c>
      <c r="O129" s="36" t="s">
        <v>301</v>
      </c>
      <c r="P129" s="53">
        <v>951061400</v>
      </c>
      <c r="Q129" s="36" t="s">
        <v>301</v>
      </c>
      <c r="R129" s="431">
        <f>P129+(P129*10%)</f>
        <v>1046167540</v>
      </c>
      <c r="S129" s="36" t="s">
        <v>301</v>
      </c>
      <c r="T129" s="431">
        <f>R129+(R129*10%)</f>
        <v>1150784294</v>
      </c>
      <c r="U129" s="36" t="s">
        <v>301</v>
      </c>
      <c r="V129" s="431">
        <f>T129+(T129*10%)</f>
        <v>1265862723.4000001</v>
      </c>
      <c r="W129" s="36" t="s">
        <v>301</v>
      </c>
      <c r="X129" s="431">
        <f>V129+(V129*10%)</f>
        <v>1392448995.74</v>
      </c>
      <c r="Y129" s="36" t="s">
        <v>301</v>
      </c>
      <c r="Z129" s="431">
        <f>X129+V129+T129+R129+P129</f>
        <v>5806324953.1400003</v>
      </c>
      <c r="AA129" s="52" t="s">
        <v>66</v>
      </c>
      <c r="AB129" s="53">
        <v>359000</v>
      </c>
      <c r="AC129" s="50">
        <f>AB129</f>
        <v>359000</v>
      </c>
      <c r="AD129" s="51" t="s">
        <v>84</v>
      </c>
      <c r="AE129" s="52" t="s">
        <v>81</v>
      </c>
      <c r="AF129" s="36" t="s">
        <v>97</v>
      </c>
    </row>
    <row r="130" spans="2:32" s="32" customFormat="1" ht="71.25" x14ac:dyDescent="0.3">
      <c r="B130" s="36"/>
      <c r="C130" s="36"/>
      <c r="D130" s="434"/>
      <c r="E130" s="33"/>
      <c r="F130" s="34"/>
      <c r="G130" s="34"/>
      <c r="H130" s="34"/>
      <c r="I130" s="34"/>
      <c r="J130" s="36"/>
      <c r="K130" s="374" t="s">
        <v>293</v>
      </c>
      <c r="L130" s="375" t="s">
        <v>291</v>
      </c>
      <c r="M130" s="362" t="s">
        <v>319</v>
      </c>
      <c r="N130" s="36" t="s">
        <v>1094</v>
      </c>
      <c r="O130" s="36" t="s">
        <v>1094</v>
      </c>
      <c r="P130" s="54"/>
      <c r="Q130" s="36" t="s">
        <v>1094</v>
      </c>
      <c r="R130" s="36"/>
      <c r="S130" s="36" t="s">
        <v>1094</v>
      </c>
      <c r="T130" s="36"/>
      <c r="U130" s="36" t="s">
        <v>1094</v>
      </c>
      <c r="V130" s="36"/>
      <c r="W130" s="36" t="s">
        <v>1094</v>
      </c>
      <c r="X130" s="36"/>
      <c r="Y130" s="36" t="s">
        <v>1094</v>
      </c>
      <c r="Z130" s="36"/>
      <c r="AA130" s="57"/>
      <c r="AB130" s="54"/>
      <c r="AC130" s="55"/>
      <c r="AD130" s="56"/>
      <c r="AE130" s="57"/>
      <c r="AF130" s="36"/>
    </row>
    <row r="131" spans="2:32" s="32" customFormat="1" ht="28.5" x14ac:dyDescent="0.3">
      <c r="B131" s="36"/>
      <c r="C131" s="36"/>
      <c r="D131" s="434"/>
      <c r="E131" s="33"/>
      <c r="F131" s="34"/>
      <c r="G131" s="34"/>
      <c r="H131" s="34"/>
      <c r="I131" s="34"/>
      <c r="J131" s="36"/>
      <c r="K131" s="374" t="s">
        <v>294</v>
      </c>
      <c r="L131" s="375" t="s">
        <v>291</v>
      </c>
      <c r="M131" s="362" t="s">
        <v>324</v>
      </c>
      <c r="N131" s="41">
        <v>1</v>
      </c>
      <c r="O131" s="41">
        <v>1</v>
      </c>
      <c r="P131" s="54"/>
      <c r="Q131" s="41">
        <v>1</v>
      </c>
      <c r="R131" s="36"/>
      <c r="S131" s="41">
        <v>1</v>
      </c>
      <c r="T131" s="36"/>
      <c r="U131" s="41">
        <v>1</v>
      </c>
      <c r="V131" s="36"/>
      <c r="W131" s="41">
        <v>1</v>
      </c>
      <c r="X131" s="36"/>
      <c r="Y131" s="41">
        <v>1</v>
      </c>
      <c r="Z131" s="36"/>
      <c r="AA131" s="57"/>
      <c r="AB131" s="54"/>
      <c r="AC131" s="55"/>
      <c r="AD131" s="56"/>
      <c r="AE131" s="57"/>
      <c r="AF131" s="36"/>
    </row>
    <row r="132" spans="2:32" s="32" customFormat="1" x14ac:dyDescent="0.3">
      <c r="B132" s="36"/>
      <c r="C132" s="36"/>
      <c r="D132" s="434"/>
      <c r="E132" s="33"/>
      <c r="F132" s="34"/>
      <c r="G132" s="34"/>
      <c r="H132" s="34"/>
      <c r="I132" s="34"/>
      <c r="J132" s="36"/>
      <c r="K132" s="374" t="s">
        <v>295</v>
      </c>
      <c r="L132" s="375" t="s">
        <v>291</v>
      </c>
      <c r="M132" s="384" t="s">
        <v>346</v>
      </c>
      <c r="N132" s="36"/>
      <c r="O132" s="36"/>
      <c r="P132" s="54"/>
      <c r="Q132" s="36"/>
      <c r="R132" s="36"/>
      <c r="S132" s="36"/>
      <c r="T132" s="36"/>
      <c r="U132" s="36"/>
      <c r="V132" s="36"/>
      <c r="W132" s="36"/>
      <c r="X132" s="36"/>
      <c r="Y132" s="36"/>
      <c r="Z132" s="36"/>
      <c r="AA132" s="57"/>
      <c r="AB132" s="54"/>
      <c r="AC132" s="55"/>
      <c r="AD132" s="56"/>
      <c r="AE132" s="57"/>
      <c r="AF132" s="36"/>
    </row>
    <row r="133" spans="2:32" s="32" customFormat="1" x14ac:dyDescent="0.3">
      <c r="B133" s="92"/>
      <c r="C133" s="92"/>
      <c r="D133" s="439"/>
      <c r="E133" s="91"/>
      <c r="F133" s="376"/>
      <c r="G133" s="376"/>
      <c r="H133" s="376"/>
      <c r="I133" s="376"/>
      <c r="J133" s="92"/>
      <c r="K133" s="377" t="s">
        <v>297</v>
      </c>
      <c r="L133" s="378" t="s">
        <v>291</v>
      </c>
      <c r="M133" s="385" t="s">
        <v>298</v>
      </c>
      <c r="N133" s="92"/>
      <c r="O133" s="92"/>
      <c r="P133" s="387"/>
      <c r="Q133" s="92"/>
      <c r="R133" s="92"/>
      <c r="S133" s="92"/>
      <c r="T133" s="92"/>
      <c r="U133" s="92"/>
      <c r="V133" s="92"/>
      <c r="W133" s="92"/>
      <c r="X133" s="92"/>
      <c r="Y133" s="92"/>
      <c r="Z133" s="92"/>
      <c r="AA133" s="388"/>
      <c r="AB133" s="387"/>
      <c r="AC133" s="389"/>
      <c r="AD133" s="390"/>
      <c r="AE133" s="388"/>
      <c r="AF133" s="92"/>
    </row>
    <row r="134" spans="2:32" s="32" customFormat="1" x14ac:dyDescent="0.3">
      <c r="B134" s="36"/>
      <c r="C134" s="36"/>
      <c r="D134" s="434"/>
      <c r="E134" s="33"/>
      <c r="F134" s="34"/>
      <c r="G134" s="34"/>
      <c r="H134" s="34"/>
      <c r="I134" s="34"/>
      <c r="J134" s="36"/>
      <c r="K134" s="46"/>
      <c r="L134" s="46"/>
      <c r="M134" s="362"/>
      <c r="N134" s="36"/>
      <c r="O134" s="36"/>
      <c r="P134" s="54"/>
      <c r="Q134" s="36"/>
      <c r="R134" s="36"/>
      <c r="S134" s="36"/>
      <c r="T134" s="36"/>
      <c r="U134" s="36"/>
      <c r="V134" s="36"/>
      <c r="W134" s="36"/>
      <c r="X134" s="36"/>
      <c r="Y134" s="36"/>
      <c r="Z134" s="36"/>
      <c r="AA134" s="57"/>
      <c r="AB134" s="54"/>
      <c r="AC134" s="55"/>
      <c r="AD134" s="56"/>
      <c r="AE134" s="57"/>
      <c r="AF134" s="36"/>
    </row>
    <row r="135" spans="2:32" s="32" customFormat="1" ht="28.5" x14ac:dyDescent="0.25">
      <c r="B135" s="36"/>
      <c r="C135" s="36"/>
      <c r="D135" s="434"/>
      <c r="E135" s="33">
        <v>1</v>
      </c>
      <c r="F135" s="34">
        <v>1</v>
      </c>
      <c r="G135" s="34">
        <v>1</v>
      </c>
      <c r="H135" s="34">
        <v>2</v>
      </c>
      <c r="I135" s="34">
        <v>10</v>
      </c>
      <c r="J135" s="36" t="s">
        <v>98</v>
      </c>
      <c r="K135" s="374" t="s">
        <v>290</v>
      </c>
      <c r="L135" s="375" t="s">
        <v>291</v>
      </c>
      <c r="M135" s="375" t="s">
        <v>292</v>
      </c>
      <c r="N135" s="36" t="s">
        <v>301</v>
      </c>
      <c r="O135" s="36" t="s">
        <v>301</v>
      </c>
      <c r="P135" s="53">
        <v>689526000</v>
      </c>
      <c r="Q135" s="36" t="s">
        <v>301</v>
      </c>
      <c r="R135" s="431">
        <f>P135+(P135*10%)</f>
        <v>758478600</v>
      </c>
      <c r="S135" s="36" t="s">
        <v>301</v>
      </c>
      <c r="T135" s="431">
        <f>R135+(R135*10%)</f>
        <v>834326460</v>
      </c>
      <c r="U135" s="36" t="s">
        <v>301</v>
      </c>
      <c r="V135" s="431">
        <f>T135+(T135*10%)</f>
        <v>917759106</v>
      </c>
      <c r="W135" s="36" t="s">
        <v>301</v>
      </c>
      <c r="X135" s="431">
        <f>V135+(V135*10%)</f>
        <v>1009535016.6</v>
      </c>
      <c r="Y135" s="36" t="s">
        <v>301</v>
      </c>
      <c r="Z135" s="431">
        <f>X135+V135+T135+R135+P135</f>
        <v>4209625182.5999999</v>
      </c>
      <c r="AA135" s="52" t="s">
        <v>66</v>
      </c>
      <c r="AB135" s="53">
        <v>770000</v>
      </c>
      <c r="AC135" s="50">
        <f>AB135+(AB135*5%)</f>
        <v>808500</v>
      </c>
      <c r="AD135" s="51" t="s">
        <v>66</v>
      </c>
      <c r="AE135" s="52" t="s">
        <v>81</v>
      </c>
      <c r="AF135" s="36" t="s">
        <v>97</v>
      </c>
    </row>
    <row r="136" spans="2:32" s="63" customFormat="1" ht="99.75" x14ac:dyDescent="0.3">
      <c r="B136" s="36"/>
      <c r="C136" s="36"/>
      <c r="D136" s="441"/>
      <c r="E136" s="33"/>
      <c r="F136" s="34"/>
      <c r="G136" s="34"/>
      <c r="H136" s="34"/>
      <c r="I136" s="34"/>
      <c r="J136" s="36"/>
      <c r="K136" s="374" t="s">
        <v>293</v>
      </c>
      <c r="L136" s="375" t="s">
        <v>291</v>
      </c>
      <c r="M136" s="362" t="s">
        <v>325</v>
      </c>
      <c r="N136" s="36" t="s">
        <v>1095</v>
      </c>
      <c r="O136" s="36" t="s">
        <v>1095</v>
      </c>
      <c r="P136" s="54"/>
      <c r="Q136" s="36" t="s">
        <v>1095</v>
      </c>
      <c r="R136" s="36"/>
      <c r="S136" s="36" t="s">
        <v>1095</v>
      </c>
      <c r="T136" s="36"/>
      <c r="U136" s="36" t="s">
        <v>1095</v>
      </c>
      <c r="V136" s="36"/>
      <c r="W136" s="36" t="s">
        <v>1095</v>
      </c>
      <c r="X136" s="36"/>
      <c r="Y136" s="36" t="s">
        <v>1095</v>
      </c>
      <c r="Z136" s="36"/>
      <c r="AA136" s="57"/>
      <c r="AB136" s="54"/>
      <c r="AC136" s="55"/>
      <c r="AD136" s="56"/>
      <c r="AE136" s="57"/>
      <c r="AF136" s="36"/>
    </row>
    <row r="137" spans="2:32" s="63" customFormat="1" ht="28.5" x14ac:dyDescent="0.3">
      <c r="B137" s="36"/>
      <c r="C137" s="36"/>
      <c r="D137" s="441"/>
      <c r="E137" s="33"/>
      <c r="F137" s="34"/>
      <c r="G137" s="34"/>
      <c r="H137" s="34"/>
      <c r="I137" s="34"/>
      <c r="J137" s="36"/>
      <c r="K137" s="374" t="s">
        <v>294</v>
      </c>
      <c r="L137" s="375" t="s">
        <v>291</v>
      </c>
      <c r="M137" s="362" t="s">
        <v>335</v>
      </c>
      <c r="N137" s="48">
        <v>1</v>
      </c>
      <c r="O137" s="48">
        <v>1</v>
      </c>
      <c r="P137" s="54"/>
      <c r="Q137" s="48">
        <v>1</v>
      </c>
      <c r="R137" s="36"/>
      <c r="S137" s="48">
        <v>1</v>
      </c>
      <c r="T137" s="36"/>
      <c r="U137" s="48">
        <v>1</v>
      </c>
      <c r="V137" s="36"/>
      <c r="W137" s="48">
        <v>1</v>
      </c>
      <c r="X137" s="36"/>
      <c r="Y137" s="48">
        <v>1</v>
      </c>
      <c r="Z137" s="36"/>
      <c r="AA137" s="57"/>
      <c r="AB137" s="54"/>
      <c r="AC137" s="55"/>
      <c r="AD137" s="56"/>
      <c r="AE137" s="57"/>
      <c r="AF137" s="36"/>
    </row>
    <row r="138" spans="2:32" s="63" customFormat="1" x14ac:dyDescent="0.3">
      <c r="B138" s="36"/>
      <c r="C138" s="36"/>
      <c r="D138" s="441"/>
      <c r="E138" s="33"/>
      <c r="F138" s="34"/>
      <c r="G138" s="34"/>
      <c r="H138" s="34"/>
      <c r="I138" s="34"/>
      <c r="J138" s="36"/>
      <c r="K138" s="374" t="s">
        <v>295</v>
      </c>
      <c r="L138" s="375" t="s">
        <v>291</v>
      </c>
      <c r="M138" s="384" t="s">
        <v>1391</v>
      </c>
      <c r="N138" s="36"/>
      <c r="O138" s="36"/>
      <c r="P138" s="54"/>
      <c r="Q138" s="36"/>
      <c r="R138" s="36"/>
      <c r="S138" s="36"/>
      <c r="T138" s="36"/>
      <c r="U138" s="36"/>
      <c r="V138" s="36"/>
      <c r="W138" s="36"/>
      <c r="X138" s="36"/>
      <c r="Y138" s="36"/>
      <c r="Z138" s="36"/>
      <c r="AA138" s="57"/>
      <c r="AB138" s="54"/>
      <c r="AC138" s="55"/>
      <c r="AD138" s="56"/>
      <c r="AE138" s="57"/>
      <c r="AF138" s="36"/>
    </row>
    <row r="139" spans="2:32" s="63" customFormat="1" x14ac:dyDescent="0.3">
      <c r="B139" s="92"/>
      <c r="C139" s="92"/>
      <c r="D139" s="442"/>
      <c r="E139" s="91"/>
      <c r="F139" s="376"/>
      <c r="G139" s="376"/>
      <c r="H139" s="376"/>
      <c r="I139" s="376"/>
      <c r="J139" s="92"/>
      <c r="K139" s="377" t="s">
        <v>297</v>
      </c>
      <c r="L139" s="378" t="s">
        <v>291</v>
      </c>
      <c r="M139" s="385" t="s">
        <v>298</v>
      </c>
      <c r="N139" s="92"/>
      <c r="O139" s="92"/>
      <c r="P139" s="387"/>
      <c r="Q139" s="92"/>
      <c r="R139" s="92"/>
      <c r="S139" s="92"/>
      <c r="T139" s="92"/>
      <c r="U139" s="92"/>
      <c r="V139" s="92"/>
      <c r="W139" s="92"/>
      <c r="X139" s="92"/>
      <c r="Y139" s="92"/>
      <c r="Z139" s="92"/>
      <c r="AA139" s="388"/>
      <c r="AB139" s="387"/>
      <c r="AC139" s="389"/>
      <c r="AD139" s="390"/>
      <c r="AE139" s="388"/>
      <c r="AF139" s="92"/>
    </row>
    <row r="140" spans="2:32" s="63" customFormat="1" x14ac:dyDescent="0.3">
      <c r="B140" s="36"/>
      <c r="C140" s="36"/>
      <c r="D140" s="441"/>
      <c r="E140" s="33"/>
      <c r="F140" s="34"/>
      <c r="G140" s="34"/>
      <c r="H140" s="34"/>
      <c r="I140" s="34"/>
      <c r="J140" s="36"/>
      <c r="K140" s="46"/>
      <c r="L140" s="46"/>
      <c r="M140" s="362"/>
      <c r="N140" s="36"/>
      <c r="O140" s="36"/>
      <c r="P140" s="54"/>
      <c r="Q140" s="36"/>
      <c r="R140" s="36"/>
      <c r="S140" s="36"/>
      <c r="T140" s="36"/>
      <c r="U140" s="36"/>
      <c r="V140" s="36"/>
      <c r="W140" s="36"/>
      <c r="X140" s="36"/>
      <c r="Y140" s="36"/>
      <c r="Z140" s="36"/>
      <c r="AA140" s="57"/>
      <c r="AB140" s="54"/>
      <c r="AC140" s="55"/>
      <c r="AD140" s="56"/>
      <c r="AE140" s="57"/>
      <c r="AF140" s="36"/>
    </row>
    <row r="141" spans="2:32" s="58" customFormat="1" ht="28.5" x14ac:dyDescent="0.25">
      <c r="B141" s="36"/>
      <c r="C141" s="36"/>
      <c r="D141" s="440"/>
      <c r="E141" s="33">
        <v>1</v>
      </c>
      <c r="F141" s="34">
        <v>1</v>
      </c>
      <c r="G141" s="34">
        <v>1</v>
      </c>
      <c r="H141" s="34">
        <v>2</v>
      </c>
      <c r="I141" s="34">
        <v>11</v>
      </c>
      <c r="J141" s="36" t="s">
        <v>99</v>
      </c>
      <c r="K141" s="374" t="s">
        <v>290</v>
      </c>
      <c r="L141" s="375" t="s">
        <v>291</v>
      </c>
      <c r="M141" s="375" t="s">
        <v>292</v>
      </c>
      <c r="N141" s="36" t="s">
        <v>301</v>
      </c>
      <c r="O141" s="36" t="s">
        <v>301</v>
      </c>
      <c r="P141" s="53">
        <v>228310000</v>
      </c>
      <c r="Q141" s="36" t="s">
        <v>301</v>
      </c>
      <c r="R141" s="431">
        <f>P141+(P141*10%)</f>
        <v>251141000</v>
      </c>
      <c r="S141" s="36" t="s">
        <v>301</v>
      </c>
      <c r="T141" s="431">
        <f>R141+(R141*10%)</f>
        <v>276255100</v>
      </c>
      <c r="U141" s="36" t="s">
        <v>301</v>
      </c>
      <c r="V141" s="431">
        <f>T141+(T141*10%)</f>
        <v>303880610</v>
      </c>
      <c r="W141" s="36" t="s">
        <v>301</v>
      </c>
      <c r="X141" s="431">
        <f>V141+(V141*10%)</f>
        <v>334268671</v>
      </c>
      <c r="Y141" s="36" t="s">
        <v>301</v>
      </c>
      <c r="Z141" s="431">
        <f>X141+V141+T141+R141+P141</f>
        <v>1393855381</v>
      </c>
      <c r="AA141" s="52" t="s">
        <v>66</v>
      </c>
      <c r="AB141" s="53">
        <v>550000</v>
      </c>
      <c r="AC141" s="50">
        <f>AB141+(AB141*5%)</f>
        <v>577500</v>
      </c>
      <c r="AD141" s="51" t="s">
        <v>66</v>
      </c>
      <c r="AE141" s="52" t="s">
        <v>81</v>
      </c>
      <c r="AF141" s="36" t="s">
        <v>97</v>
      </c>
    </row>
    <row r="142" spans="2:32" s="32" customFormat="1" ht="156.75" x14ac:dyDescent="0.3">
      <c r="B142" s="36"/>
      <c r="C142" s="36"/>
      <c r="D142" s="434"/>
      <c r="E142" s="33"/>
      <c r="F142" s="34"/>
      <c r="G142" s="34"/>
      <c r="H142" s="34"/>
      <c r="I142" s="34"/>
      <c r="J142" s="36"/>
      <c r="K142" s="374" t="s">
        <v>293</v>
      </c>
      <c r="L142" s="375" t="s">
        <v>291</v>
      </c>
      <c r="M142" s="362" t="s">
        <v>327</v>
      </c>
      <c r="N142" s="36" t="s">
        <v>1096</v>
      </c>
      <c r="O142" s="36" t="s">
        <v>1096</v>
      </c>
      <c r="P142" s="54"/>
      <c r="Q142" s="36" t="s">
        <v>1096</v>
      </c>
      <c r="R142" s="36"/>
      <c r="S142" s="36" t="s">
        <v>1096</v>
      </c>
      <c r="T142" s="36"/>
      <c r="U142" s="36" t="s">
        <v>1096</v>
      </c>
      <c r="V142" s="36"/>
      <c r="W142" s="36" t="s">
        <v>1096</v>
      </c>
      <c r="X142" s="36"/>
      <c r="Y142" s="36" t="s">
        <v>1096</v>
      </c>
      <c r="Z142" s="36"/>
      <c r="AA142" s="57"/>
      <c r="AB142" s="54"/>
      <c r="AC142" s="55"/>
      <c r="AD142" s="56"/>
      <c r="AE142" s="57"/>
      <c r="AF142" s="36"/>
    </row>
    <row r="143" spans="2:32" s="32" customFormat="1" ht="28.5" x14ac:dyDescent="0.3">
      <c r="B143" s="36"/>
      <c r="C143" s="36"/>
      <c r="D143" s="434"/>
      <c r="E143" s="33"/>
      <c r="F143" s="34"/>
      <c r="G143" s="34"/>
      <c r="H143" s="34"/>
      <c r="I143" s="34"/>
      <c r="J143" s="36"/>
      <c r="K143" s="374" t="s">
        <v>294</v>
      </c>
      <c r="L143" s="375" t="s">
        <v>291</v>
      </c>
      <c r="M143" s="362" t="s">
        <v>336</v>
      </c>
      <c r="N143" s="41">
        <v>1</v>
      </c>
      <c r="O143" s="41">
        <v>1</v>
      </c>
      <c r="P143" s="54"/>
      <c r="Q143" s="41">
        <v>1</v>
      </c>
      <c r="R143" s="37"/>
      <c r="S143" s="41">
        <v>1</v>
      </c>
      <c r="T143" s="37"/>
      <c r="U143" s="41">
        <v>1</v>
      </c>
      <c r="V143" s="37"/>
      <c r="W143" s="41">
        <v>1</v>
      </c>
      <c r="X143" s="37"/>
      <c r="Y143" s="41">
        <v>1</v>
      </c>
      <c r="Z143" s="37"/>
      <c r="AA143" s="57"/>
      <c r="AB143" s="54"/>
      <c r="AC143" s="55"/>
      <c r="AD143" s="56"/>
      <c r="AE143" s="57"/>
      <c r="AF143" s="36"/>
    </row>
    <row r="144" spans="2:32" s="32" customFormat="1" x14ac:dyDescent="0.3">
      <c r="B144" s="36"/>
      <c r="C144" s="36"/>
      <c r="D144" s="434"/>
      <c r="E144" s="33"/>
      <c r="F144" s="34"/>
      <c r="G144" s="34"/>
      <c r="H144" s="34"/>
      <c r="I144" s="34"/>
      <c r="J144" s="36"/>
      <c r="K144" s="374" t="s">
        <v>295</v>
      </c>
      <c r="L144" s="375" t="s">
        <v>291</v>
      </c>
      <c r="M144" s="384" t="s">
        <v>1392</v>
      </c>
      <c r="N144" s="36"/>
      <c r="O144" s="36"/>
      <c r="P144" s="54"/>
      <c r="Q144" s="36"/>
      <c r="R144" s="37"/>
      <c r="S144" s="36"/>
      <c r="T144" s="37"/>
      <c r="U144" s="36"/>
      <c r="V144" s="37"/>
      <c r="W144" s="36"/>
      <c r="X144" s="37"/>
      <c r="Y144" s="36"/>
      <c r="Z144" s="37"/>
      <c r="AA144" s="57"/>
      <c r="AB144" s="54"/>
      <c r="AC144" s="55"/>
      <c r="AD144" s="56"/>
      <c r="AE144" s="57"/>
      <c r="AF144" s="36"/>
    </row>
    <row r="145" spans="2:32" s="32" customFormat="1" x14ac:dyDescent="0.3">
      <c r="B145" s="92"/>
      <c r="C145" s="92"/>
      <c r="D145" s="439"/>
      <c r="E145" s="91"/>
      <c r="F145" s="376"/>
      <c r="G145" s="376"/>
      <c r="H145" s="376"/>
      <c r="I145" s="376"/>
      <c r="J145" s="92"/>
      <c r="K145" s="377" t="s">
        <v>297</v>
      </c>
      <c r="L145" s="378" t="s">
        <v>291</v>
      </c>
      <c r="M145" s="385" t="s">
        <v>298</v>
      </c>
      <c r="N145" s="92"/>
      <c r="O145" s="92"/>
      <c r="P145" s="387"/>
      <c r="Q145" s="92"/>
      <c r="R145" s="101"/>
      <c r="S145" s="92"/>
      <c r="T145" s="101"/>
      <c r="U145" s="92"/>
      <c r="V145" s="101"/>
      <c r="W145" s="92"/>
      <c r="X145" s="101"/>
      <c r="Y145" s="92"/>
      <c r="Z145" s="101"/>
      <c r="AA145" s="388"/>
      <c r="AB145" s="387"/>
      <c r="AC145" s="389"/>
      <c r="AD145" s="390"/>
      <c r="AE145" s="388"/>
      <c r="AF145" s="92"/>
    </row>
    <row r="146" spans="2:32" s="32" customFormat="1" x14ac:dyDescent="0.3">
      <c r="B146" s="36"/>
      <c r="C146" s="36"/>
      <c r="D146" s="434"/>
      <c r="E146" s="33"/>
      <c r="F146" s="34"/>
      <c r="G146" s="34"/>
      <c r="H146" s="34"/>
      <c r="I146" s="34"/>
      <c r="J146" s="36"/>
      <c r="K146" s="46"/>
      <c r="L146" s="46"/>
      <c r="M146" s="362"/>
      <c r="N146" s="36"/>
      <c r="O146" s="36"/>
      <c r="P146" s="54"/>
      <c r="Q146" s="36"/>
      <c r="R146" s="37"/>
      <c r="S146" s="36"/>
      <c r="T146" s="37"/>
      <c r="U146" s="36"/>
      <c r="V146" s="37"/>
      <c r="W146" s="36"/>
      <c r="X146" s="37"/>
      <c r="Y146" s="36"/>
      <c r="Z146" s="37"/>
      <c r="AA146" s="57"/>
      <c r="AB146" s="54"/>
      <c r="AC146" s="55"/>
      <c r="AD146" s="56"/>
      <c r="AE146" s="57"/>
      <c r="AF146" s="36"/>
    </row>
    <row r="147" spans="2:32" s="32" customFormat="1" ht="28.5" x14ac:dyDescent="0.25">
      <c r="B147" s="36"/>
      <c r="C147" s="36"/>
      <c r="D147" s="434"/>
      <c r="E147" s="33">
        <v>1</v>
      </c>
      <c r="F147" s="34">
        <v>1</v>
      </c>
      <c r="G147" s="34">
        <v>1</v>
      </c>
      <c r="H147" s="34">
        <v>2</v>
      </c>
      <c r="I147" s="34">
        <v>13</v>
      </c>
      <c r="J147" s="36" t="s">
        <v>100</v>
      </c>
      <c r="K147" s="374" t="s">
        <v>290</v>
      </c>
      <c r="L147" s="375" t="s">
        <v>291</v>
      </c>
      <c r="M147" s="375" t="s">
        <v>292</v>
      </c>
      <c r="N147" s="36" t="s">
        <v>301</v>
      </c>
      <c r="O147" s="36" t="s">
        <v>301</v>
      </c>
      <c r="P147" s="53">
        <v>33200000</v>
      </c>
      <c r="Q147" s="36" t="s">
        <v>301</v>
      </c>
      <c r="R147" s="431">
        <f>P147+(P147*10%)</f>
        <v>36520000</v>
      </c>
      <c r="S147" s="36" t="s">
        <v>301</v>
      </c>
      <c r="T147" s="431">
        <f>R147+(R147*10%)</f>
        <v>40172000</v>
      </c>
      <c r="U147" s="36" t="s">
        <v>301</v>
      </c>
      <c r="V147" s="431">
        <f>T147+(T147*10%)</f>
        <v>44189200</v>
      </c>
      <c r="W147" s="36" t="s">
        <v>301</v>
      </c>
      <c r="X147" s="431">
        <f>V147+(V147*10%)</f>
        <v>48608120</v>
      </c>
      <c r="Y147" s="36" t="s">
        <v>301</v>
      </c>
      <c r="Z147" s="431">
        <f>X147+V147+T147+R147+P147</f>
        <v>202689320</v>
      </c>
      <c r="AA147" s="52" t="s">
        <v>66</v>
      </c>
      <c r="AB147" s="53">
        <v>220000</v>
      </c>
      <c r="AC147" s="50">
        <f>AB147+(AB147*5%)</f>
        <v>231000</v>
      </c>
      <c r="AD147" s="51" t="s">
        <v>66</v>
      </c>
      <c r="AE147" s="52" t="s">
        <v>81</v>
      </c>
      <c r="AF147" s="36" t="s">
        <v>101</v>
      </c>
    </row>
    <row r="148" spans="2:32" s="32" customFormat="1" ht="28.5" x14ac:dyDescent="0.3">
      <c r="B148" s="36"/>
      <c r="C148" s="36"/>
      <c r="D148" s="434"/>
      <c r="E148" s="33"/>
      <c r="F148" s="34"/>
      <c r="G148" s="34"/>
      <c r="H148" s="34"/>
      <c r="I148" s="34"/>
      <c r="J148" s="36"/>
      <c r="K148" s="374" t="s">
        <v>293</v>
      </c>
      <c r="L148" s="375" t="s">
        <v>291</v>
      </c>
      <c r="M148" s="362" t="s">
        <v>329</v>
      </c>
      <c r="N148" s="36" t="s">
        <v>1097</v>
      </c>
      <c r="O148" s="36" t="s">
        <v>1097</v>
      </c>
      <c r="P148" s="54"/>
      <c r="Q148" s="36" t="s">
        <v>1097</v>
      </c>
      <c r="R148" s="37"/>
      <c r="S148" s="36" t="s">
        <v>1097</v>
      </c>
      <c r="T148" s="37"/>
      <c r="U148" s="36" t="s">
        <v>1097</v>
      </c>
      <c r="V148" s="37"/>
      <c r="W148" s="36" t="s">
        <v>1097</v>
      </c>
      <c r="X148" s="37"/>
      <c r="Y148" s="36" t="s">
        <v>1097</v>
      </c>
      <c r="Z148" s="37"/>
      <c r="AA148" s="57"/>
      <c r="AB148" s="54"/>
      <c r="AC148" s="55"/>
      <c r="AD148" s="56"/>
      <c r="AE148" s="57"/>
      <c r="AF148" s="36"/>
    </row>
    <row r="149" spans="2:32" s="32" customFormat="1" ht="28.5" x14ac:dyDescent="0.3">
      <c r="B149" s="36"/>
      <c r="C149" s="36"/>
      <c r="D149" s="434"/>
      <c r="E149" s="33"/>
      <c r="F149" s="34"/>
      <c r="G149" s="34"/>
      <c r="H149" s="34"/>
      <c r="I149" s="34"/>
      <c r="J149" s="36"/>
      <c r="K149" s="374" t="s">
        <v>294</v>
      </c>
      <c r="L149" s="375" t="s">
        <v>291</v>
      </c>
      <c r="M149" s="362" t="s">
        <v>337</v>
      </c>
      <c r="N149" s="41">
        <v>1</v>
      </c>
      <c r="O149" s="41">
        <v>1</v>
      </c>
      <c r="P149" s="54"/>
      <c r="Q149" s="41">
        <v>1</v>
      </c>
      <c r="R149" s="37"/>
      <c r="S149" s="41">
        <v>1</v>
      </c>
      <c r="T149" s="37"/>
      <c r="U149" s="41">
        <v>1</v>
      </c>
      <c r="V149" s="37"/>
      <c r="W149" s="41">
        <v>1</v>
      </c>
      <c r="X149" s="37"/>
      <c r="Y149" s="41">
        <v>1</v>
      </c>
      <c r="Z149" s="37"/>
      <c r="AA149" s="57"/>
      <c r="AB149" s="54"/>
      <c r="AC149" s="55"/>
      <c r="AD149" s="56"/>
      <c r="AE149" s="57"/>
      <c r="AF149" s="36"/>
    </row>
    <row r="150" spans="2:32" s="32" customFormat="1" x14ac:dyDescent="0.3">
      <c r="B150" s="36"/>
      <c r="C150" s="36"/>
      <c r="D150" s="434"/>
      <c r="E150" s="33"/>
      <c r="F150" s="34"/>
      <c r="G150" s="34"/>
      <c r="H150" s="34"/>
      <c r="I150" s="34"/>
      <c r="J150" s="36"/>
      <c r="K150" s="374" t="s">
        <v>295</v>
      </c>
      <c r="L150" s="375" t="s">
        <v>291</v>
      </c>
      <c r="M150" s="384" t="s">
        <v>1393</v>
      </c>
      <c r="N150" s="36"/>
      <c r="O150" s="36"/>
      <c r="P150" s="54"/>
      <c r="Q150" s="36"/>
      <c r="R150" s="37"/>
      <c r="S150" s="36"/>
      <c r="T150" s="37"/>
      <c r="U150" s="36"/>
      <c r="V150" s="37"/>
      <c r="W150" s="36"/>
      <c r="X150" s="37"/>
      <c r="Y150" s="36"/>
      <c r="Z150" s="37"/>
      <c r="AA150" s="57"/>
      <c r="AB150" s="54"/>
      <c r="AC150" s="55"/>
      <c r="AD150" s="56"/>
      <c r="AE150" s="57"/>
      <c r="AF150" s="36"/>
    </row>
    <row r="151" spans="2:32" s="32" customFormat="1" x14ac:dyDescent="0.3">
      <c r="B151" s="92"/>
      <c r="C151" s="92"/>
      <c r="D151" s="439"/>
      <c r="E151" s="91"/>
      <c r="F151" s="376"/>
      <c r="G151" s="376"/>
      <c r="H151" s="376"/>
      <c r="I151" s="376"/>
      <c r="J151" s="92"/>
      <c r="K151" s="377" t="s">
        <v>297</v>
      </c>
      <c r="L151" s="378" t="s">
        <v>291</v>
      </c>
      <c r="M151" s="385" t="s">
        <v>298</v>
      </c>
      <c r="N151" s="92"/>
      <c r="O151" s="92"/>
      <c r="P151" s="387"/>
      <c r="Q151" s="92"/>
      <c r="R151" s="101"/>
      <c r="S151" s="92"/>
      <c r="T151" s="101"/>
      <c r="U151" s="92"/>
      <c r="V151" s="101"/>
      <c r="W151" s="92"/>
      <c r="X151" s="101"/>
      <c r="Y151" s="92"/>
      <c r="Z151" s="101"/>
      <c r="AA151" s="388"/>
      <c r="AB151" s="387"/>
      <c r="AC151" s="389"/>
      <c r="AD151" s="390"/>
      <c r="AE151" s="388"/>
      <c r="AF151" s="92"/>
    </row>
    <row r="152" spans="2:32" s="32" customFormat="1" x14ac:dyDescent="0.3">
      <c r="B152" s="36"/>
      <c r="C152" s="36"/>
      <c r="D152" s="434"/>
      <c r="E152" s="33"/>
      <c r="F152" s="34"/>
      <c r="G152" s="34"/>
      <c r="H152" s="34"/>
      <c r="I152" s="34"/>
      <c r="J152" s="36"/>
      <c r="K152" s="46"/>
      <c r="L152" s="46"/>
      <c r="M152" s="362"/>
      <c r="N152" s="36"/>
      <c r="O152" s="36"/>
      <c r="P152" s="54"/>
      <c r="Q152" s="36"/>
      <c r="R152" s="37"/>
      <c r="S152" s="36"/>
      <c r="T152" s="37"/>
      <c r="U152" s="36"/>
      <c r="V152" s="37"/>
      <c r="W152" s="36"/>
      <c r="X152" s="37"/>
      <c r="Y152" s="36"/>
      <c r="Z152" s="37"/>
      <c r="AA152" s="57"/>
      <c r="AB152" s="54"/>
      <c r="AC152" s="55"/>
      <c r="AD152" s="56"/>
      <c r="AE152" s="57"/>
      <c r="AF152" s="36"/>
    </row>
    <row r="153" spans="2:32" s="32" customFormat="1" ht="28.5" x14ac:dyDescent="0.25">
      <c r="B153" s="36"/>
      <c r="C153" s="36"/>
      <c r="D153" s="434"/>
      <c r="E153" s="33">
        <v>1</v>
      </c>
      <c r="F153" s="34">
        <v>1</v>
      </c>
      <c r="G153" s="34">
        <v>1</v>
      </c>
      <c r="H153" s="34">
        <v>2</v>
      </c>
      <c r="I153" s="34">
        <v>14</v>
      </c>
      <c r="J153" s="36" t="s">
        <v>102</v>
      </c>
      <c r="K153" s="374" t="s">
        <v>290</v>
      </c>
      <c r="L153" s="375" t="s">
        <v>291</v>
      </c>
      <c r="M153" s="375" t="s">
        <v>292</v>
      </c>
      <c r="N153" s="36" t="s">
        <v>301</v>
      </c>
      <c r="O153" s="36" t="s">
        <v>301</v>
      </c>
      <c r="P153" s="53">
        <v>165240000</v>
      </c>
      <c r="Q153" s="36" t="s">
        <v>301</v>
      </c>
      <c r="R153" s="431">
        <f>P153+(P153*10%)</f>
        <v>181764000</v>
      </c>
      <c r="S153" s="36" t="s">
        <v>301</v>
      </c>
      <c r="T153" s="431">
        <f>R153+(R153*10%)</f>
        <v>199940400</v>
      </c>
      <c r="U153" s="36" t="s">
        <v>301</v>
      </c>
      <c r="V153" s="431">
        <f>T153+(T153*10%)</f>
        <v>219934440</v>
      </c>
      <c r="W153" s="36" t="s">
        <v>301</v>
      </c>
      <c r="X153" s="431">
        <f>V153+(V153*10%)</f>
        <v>241927884</v>
      </c>
      <c r="Y153" s="36" t="s">
        <v>301</v>
      </c>
      <c r="Z153" s="431">
        <f>X153+V153+T153+R153+P153</f>
        <v>1008806724</v>
      </c>
      <c r="AA153" s="52" t="s">
        <v>66</v>
      </c>
      <c r="AB153" s="53">
        <v>18000</v>
      </c>
      <c r="AC153" s="50">
        <f>AB153+(AB153*10%)</f>
        <v>19800</v>
      </c>
      <c r="AD153" s="51" t="s">
        <v>66</v>
      </c>
      <c r="AE153" s="52" t="s">
        <v>81</v>
      </c>
      <c r="AF153" s="36" t="s">
        <v>101</v>
      </c>
    </row>
    <row r="154" spans="2:32" s="32" customFormat="1" ht="57" x14ac:dyDescent="0.3">
      <c r="B154" s="36"/>
      <c r="C154" s="36"/>
      <c r="D154" s="434"/>
      <c r="E154" s="33"/>
      <c r="F154" s="34"/>
      <c r="G154" s="34"/>
      <c r="H154" s="34"/>
      <c r="I154" s="34"/>
      <c r="J154" s="36"/>
      <c r="K154" s="374" t="s">
        <v>293</v>
      </c>
      <c r="L154" s="375" t="s">
        <v>291</v>
      </c>
      <c r="M154" s="362" t="s">
        <v>332</v>
      </c>
      <c r="N154" s="36" t="s">
        <v>1098</v>
      </c>
      <c r="O154" s="36" t="s">
        <v>1098</v>
      </c>
      <c r="P154" s="54"/>
      <c r="Q154" s="36" t="s">
        <v>1098</v>
      </c>
      <c r="R154" s="37"/>
      <c r="S154" s="36" t="s">
        <v>1098</v>
      </c>
      <c r="T154" s="37"/>
      <c r="U154" s="36" t="s">
        <v>1098</v>
      </c>
      <c r="V154" s="37"/>
      <c r="W154" s="36" t="s">
        <v>1098</v>
      </c>
      <c r="X154" s="37"/>
      <c r="Y154" s="36" t="s">
        <v>1098</v>
      </c>
      <c r="Z154" s="37"/>
      <c r="AA154" s="57"/>
      <c r="AB154" s="54"/>
      <c r="AC154" s="55"/>
      <c r="AD154" s="56"/>
      <c r="AE154" s="57"/>
      <c r="AF154" s="36"/>
    </row>
    <row r="155" spans="2:32" s="32" customFormat="1" ht="28.5" x14ac:dyDescent="0.3">
      <c r="B155" s="36"/>
      <c r="C155" s="36"/>
      <c r="D155" s="434"/>
      <c r="E155" s="33"/>
      <c r="F155" s="34"/>
      <c r="G155" s="34"/>
      <c r="H155" s="34"/>
      <c r="I155" s="34"/>
      <c r="J155" s="36"/>
      <c r="K155" s="374" t="s">
        <v>294</v>
      </c>
      <c r="L155" s="375" t="s">
        <v>291</v>
      </c>
      <c r="M155" s="362" t="s">
        <v>338</v>
      </c>
      <c r="N155" s="41">
        <v>1</v>
      </c>
      <c r="O155" s="41">
        <v>1</v>
      </c>
      <c r="P155" s="54"/>
      <c r="Q155" s="41">
        <v>1</v>
      </c>
      <c r="R155" s="37"/>
      <c r="S155" s="41">
        <v>1</v>
      </c>
      <c r="T155" s="37"/>
      <c r="U155" s="41">
        <v>1</v>
      </c>
      <c r="V155" s="37"/>
      <c r="W155" s="41">
        <v>1</v>
      </c>
      <c r="X155" s="37"/>
      <c r="Y155" s="41">
        <v>1</v>
      </c>
      <c r="Z155" s="37"/>
      <c r="AA155" s="57"/>
      <c r="AB155" s="54"/>
      <c r="AC155" s="55"/>
      <c r="AD155" s="56"/>
      <c r="AE155" s="57"/>
      <c r="AF155" s="36"/>
    </row>
    <row r="156" spans="2:32" s="32" customFormat="1" x14ac:dyDescent="0.3">
      <c r="B156" s="36"/>
      <c r="C156" s="36"/>
      <c r="D156" s="434"/>
      <c r="E156" s="33"/>
      <c r="F156" s="34"/>
      <c r="G156" s="34"/>
      <c r="H156" s="34"/>
      <c r="I156" s="34"/>
      <c r="J156" s="36"/>
      <c r="K156" s="374" t="s">
        <v>295</v>
      </c>
      <c r="L156" s="375" t="s">
        <v>291</v>
      </c>
      <c r="M156" s="384" t="s">
        <v>1394</v>
      </c>
      <c r="N156" s="36"/>
      <c r="O156" s="36"/>
      <c r="P156" s="54"/>
      <c r="Q156" s="36"/>
      <c r="R156" s="37"/>
      <c r="S156" s="36"/>
      <c r="T156" s="37"/>
      <c r="U156" s="36"/>
      <c r="V156" s="37"/>
      <c r="W156" s="36"/>
      <c r="X156" s="37"/>
      <c r="Y156" s="36"/>
      <c r="Z156" s="37"/>
      <c r="AA156" s="57"/>
      <c r="AB156" s="54"/>
      <c r="AC156" s="55"/>
      <c r="AD156" s="56"/>
      <c r="AE156" s="57"/>
      <c r="AF156" s="36"/>
    </row>
    <row r="157" spans="2:32" s="32" customFormat="1" x14ac:dyDescent="0.3">
      <c r="B157" s="92"/>
      <c r="C157" s="92"/>
      <c r="D157" s="439"/>
      <c r="E157" s="91"/>
      <c r="F157" s="376"/>
      <c r="G157" s="376"/>
      <c r="H157" s="376"/>
      <c r="I157" s="376"/>
      <c r="J157" s="92"/>
      <c r="K157" s="377" t="s">
        <v>297</v>
      </c>
      <c r="L157" s="378" t="s">
        <v>291</v>
      </c>
      <c r="M157" s="385" t="s">
        <v>298</v>
      </c>
      <c r="N157" s="92"/>
      <c r="O157" s="92"/>
      <c r="P157" s="387"/>
      <c r="Q157" s="92"/>
      <c r="R157" s="101"/>
      <c r="S157" s="92"/>
      <c r="T157" s="101"/>
      <c r="U157" s="92"/>
      <c r="V157" s="101"/>
      <c r="W157" s="92"/>
      <c r="X157" s="101"/>
      <c r="Y157" s="92"/>
      <c r="Z157" s="101"/>
      <c r="AA157" s="388"/>
      <c r="AB157" s="387"/>
      <c r="AC157" s="389"/>
      <c r="AD157" s="390"/>
      <c r="AE157" s="388"/>
      <c r="AF157" s="92"/>
    </row>
    <row r="158" spans="2:32" s="32" customFormat="1" x14ac:dyDescent="0.3">
      <c r="B158" s="36"/>
      <c r="C158" s="36"/>
      <c r="D158" s="434"/>
      <c r="E158" s="33"/>
      <c r="F158" s="34"/>
      <c r="G158" s="34"/>
      <c r="H158" s="34"/>
      <c r="I158" s="34"/>
      <c r="J158" s="36"/>
      <c r="K158" s="46"/>
      <c r="L158" s="46"/>
      <c r="M158" s="362"/>
      <c r="N158" s="36"/>
      <c r="O158" s="36"/>
      <c r="P158" s="54"/>
      <c r="Q158" s="36"/>
      <c r="R158" s="37"/>
      <c r="S158" s="36"/>
      <c r="T158" s="37"/>
      <c r="U158" s="36"/>
      <c r="V158" s="37"/>
      <c r="W158" s="36"/>
      <c r="X158" s="37"/>
      <c r="Y158" s="36"/>
      <c r="Z158" s="37"/>
      <c r="AA158" s="57"/>
      <c r="AB158" s="54"/>
      <c r="AC158" s="55"/>
      <c r="AD158" s="56"/>
      <c r="AE158" s="57"/>
      <c r="AF158" s="36"/>
    </row>
    <row r="159" spans="2:32" s="32" customFormat="1" ht="28.5" x14ac:dyDescent="0.25">
      <c r="B159" s="36"/>
      <c r="C159" s="36"/>
      <c r="D159" s="434"/>
      <c r="E159" s="33">
        <v>1</v>
      </c>
      <c r="F159" s="34">
        <v>1</v>
      </c>
      <c r="G159" s="34">
        <v>1</v>
      </c>
      <c r="H159" s="34">
        <v>2</v>
      </c>
      <c r="I159" s="34">
        <v>16</v>
      </c>
      <c r="J159" s="36" t="s">
        <v>103</v>
      </c>
      <c r="K159" s="374" t="s">
        <v>290</v>
      </c>
      <c r="L159" s="375" t="s">
        <v>291</v>
      </c>
      <c r="M159" s="375" t="s">
        <v>292</v>
      </c>
      <c r="N159" s="36" t="s">
        <v>301</v>
      </c>
      <c r="O159" s="36" t="s">
        <v>301</v>
      </c>
      <c r="P159" s="53">
        <v>464710000</v>
      </c>
      <c r="Q159" s="36" t="s">
        <v>301</v>
      </c>
      <c r="R159" s="431">
        <f>P159+(P159*10%)</f>
        <v>511181000</v>
      </c>
      <c r="S159" s="36" t="s">
        <v>301</v>
      </c>
      <c r="T159" s="431">
        <f>R159+(R159*10%)</f>
        <v>562299100</v>
      </c>
      <c r="U159" s="36" t="s">
        <v>301</v>
      </c>
      <c r="V159" s="431">
        <f>T159+(T159*10%)</f>
        <v>618529010</v>
      </c>
      <c r="W159" s="36" t="s">
        <v>301</v>
      </c>
      <c r="X159" s="431">
        <f>V159+(V159*10%)</f>
        <v>680381911</v>
      </c>
      <c r="Y159" s="36" t="s">
        <v>301</v>
      </c>
      <c r="Z159" s="431">
        <f>X159+V159+T159+R159+P159</f>
        <v>2837101021</v>
      </c>
      <c r="AA159" s="52" t="s">
        <v>66</v>
      </c>
      <c r="AB159" s="53">
        <v>111000</v>
      </c>
      <c r="AC159" s="50">
        <f>AB159+(AB159*5%)</f>
        <v>116550</v>
      </c>
      <c r="AD159" s="51" t="s">
        <v>66</v>
      </c>
      <c r="AE159" s="52" t="s">
        <v>81</v>
      </c>
      <c r="AF159" s="36" t="s">
        <v>104</v>
      </c>
    </row>
    <row r="160" spans="2:32" s="32" customFormat="1" ht="71.25" x14ac:dyDescent="0.3">
      <c r="B160" s="36"/>
      <c r="C160" s="36"/>
      <c r="D160" s="434"/>
      <c r="E160" s="33"/>
      <c r="F160" s="34"/>
      <c r="G160" s="34"/>
      <c r="H160" s="34"/>
      <c r="I160" s="34"/>
      <c r="J160" s="36"/>
      <c r="K160" s="374" t="s">
        <v>293</v>
      </c>
      <c r="L160" s="375" t="s">
        <v>291</v>
      </c>
      <c r="M160" s="362" t="s">
        <v>1203</v>
      </c>
      <c r="N160" s="36" t="s">
        <v>1099</v>
      </c>
      <c r="O160" s="36" t="s">
        <v>1099</v>
      </c>
      <c r="P160" s="54"/>
      <c r="Q160" s="36" t="s">
        <v>1099</v>
      </c>
      <c r="R160" s="37"/>
      <c r="S160" s="36" t="s">
        <v>1099</v>
      </c>
      <c r="T160" s="37"/>
      <c r="U160" s="36" t="s">
        <v>1099</v>
      </c>
      <c r="V160" s="37"/>
      <c r="W160" s="36" t="s">
        <v>1099</v>
      </c>
      <c r="X160" s="37"/>
      <c r="Y160" s="36" t="s">
        <v>1099</v>
      </c>
      <c r="Z160" s="37"/>
      <c r="AA160" s="57"/>
      <c r="AB160" s="54"/>
      <c r="AC160" s="55"/>
      <c r="AD160" s="56"/>
      <c r="AE160" s="57"/>
      <c r="AF160" s="36"/>
    </row>
    <row r="161" spans="2:32" s="32" customFormat="1" ht="28.5" x14ac:dyDescent="0.3">
      <c r="B161" s="36"/>
      <c r="C161" s="36"/>
      <c r="D161" s="434"/>
      <c r="E161" s="33"/>
      <c r="F161" s="34"/>
      <c r="G161" s="34"/>
      <c r="H161" s="34"/>
      <c r="I161" s="34"/>
      <c r="J161" s="36"/>
      <c r="K161" s="374" t="s">
        <v>294</v>
      </c>
      <c r="L161" s="375" t="s">
        <v>291</v>
      </c>
      <c r="M161" s="362" t="s">
        <v>1395</v>
      </c>
      <c r="N161" s="41">
        <v>1</v>
      </c>
      <c r="O161" s="41">
        <v>1</v>
      </c>
      <c r="P161" s="54"/>
      <c r="Q161" s="41">
        <v>1</v>
      </c>
      <c r="R161" s="37"/>
      <c r="S161" s="41">
        <v>1</v>
      </c>
      <c r="T161" s="37"/>
      <c r="U161" s="41">
        <v>1</v>
      </c>
      <c r="V161" s="37"/>
      <c r="W161" s="41">
        <v>1</v>
      </c>
      <c r="X161" s="37"/>
      <c r="Y161" s="41">
        <v>1</v>
      </c>
      <c r="Z161" s="37"/>
      <c r="AA161" s="57"/>
      <c r="AB161" s="54"/>
      <c r="AC161" s="55"/>
      <c r="AD161" s="56"/>
      <c r="AE161" s="57"/>
      <c r="AF161" s="36"/>
    </row>
    <row r="162" spans="2:32" s="32" customFormat="1" x14ac:dyDescent="0.3">
      <c r="B162" s="36"/>
      <c r="C162" s="36"/>
      <c r="D162" s="434"/>
      <c r="E162" s="33"/>
      <c r="F162" s="34"/>
      <c r="G162" s="34"/>
      <c r="H162" s="34"/>
      <c r="I162" s="34"/>
      <c r="J162" s="36"/>
      <c r="K162" s="374" t="s">
        <v>295</v>
      </c>
      <c r="L162" s="375" t="s">
        <v>291</v>
      </c>
      <c r="M162" s="384" t="s">
        <v>1389</v>
      </c>
      <c r="N162" s="36"/>
      <c r="O162" s="36"/>
      <c r="P162" s="54"/>
      <c r="Q162" s="36"/>
      <c r="R162" s="37"/>
      <c r="S162" s="36"/>
      <c r="T162" s="37"/>
      <c r="U162" s="36"/>
      <c r="V162" s="37"/>
      <c r="W162" s="36"/>
      <c r="X162" s="37"/>
      <c r="Y162" s="36"/>
      <c r="Z162" s="37"/>
      <c r="AA162" s="57"/>
      <c r="AB162" s="54"/>
      <c r="AC162" s="55"/>
      <c r="AD162" s="56"/>
      <c r="AE162" s="57"/>
      <c r="AF162" s="36"/>
    </row>
    <row r="163" spans="2:32" s="32" customFormat="1" x14ac:dyDescent="0.3">
      <c r="B163" s="92"/>
      <c r="C163" s="92"/>
      <c r="D163" s="439"/>
      <c r="E163" s="91"/>
      <c r="F163" s="376"/>
      <c r="G163" s="376"/>
      <c r="H163" s="376"/>
      <c r="I163" s="376"/>
      <c r="J163" s="92"/>
      <c r="K163" s="377" t="s">
        <v>297</v>
      </c>
      <c r="L163" s="378" t="s">
        <v>291</v>
      </c>
      <c r="M163" s="385" t="s">
        <v>298</v>
      </c>
      <c r="N163" s="92"/>
      <c r="O163" s="92"/>
      <c r="P163" s="387"/>
      <c r="Q163" s="92"/>
      <c r="R163" s="101"/>
      <c r="S163" s="92"/>
      <c r="T163" s="101"/>
      <c r="U163" s="92"/>
      <c r="V163" s="101"/>
      <c r="W163" s="92"/>
      <c r="X163" s="101"/>
      <c r="Y163" s="92"/>
      <c r="Z163" s="101"/>
      <c r="AA163" s="388"/>
      <c r="AB163" s="387"/>
      <c r="AC163" s="389"/>
      <c r="AD163" s="390"/>
      <c r="AE163" s="388"/>
      <c r="AF163" s="92"/>
    </row>
    <row r="164" spans="2:32" s="32" customFormat="1" x14ac:dyDescent="0.3">
      <c r="B164" s="36"/>
      <c r="C164" s="36"/>
      <c r="D164" s="434"/>
      <c r="E164" s="33"/>
      <c r="F164" s="34"/>
      <c r="G164" s="34"/>
      <c r="H164" s="34"/>
      <c r="I164" s="34"/>
      <c r="J164" s="36"/>
      <c r="K164" s="46"/>
      <c r="L164" s="46"/>
      <c r="M164" s="362"/>
      <c r="N164" s="36"/>
      <c r="O164" s="36"/>
      <c r="P164" s="54"/>
      <c r="Q164" s="36"/>
      <c r="R164" s="37"/>
      <c r="S164" s="36"/>
      <c r="T164" s="37"/>
      <c r="U164" s="36"/>
      <c r="V164" s="37"/>
      <c r="W164" s="36"/>
      <c r="X164" s="37"/>
      <c r="Y164" s="36"/>
      <c r="Z164" s="37"/>
      <c r="AA164" s="57"/>
      <c r="AB164" s="54"/>
      <c r="AC164" s="55"/>
      <c r="AD164" s="56"/>
      <c r="AE164" s="57"/>
      <c r="AF164" s="36"/>
    </row>
    <row r="165" spans="2:32" s="32" customFormat="1" ht="40.5" x14ac:dyDescent="0.25">
      <c r="B165" s="502" t="s">
        <v>1555</v>
      </c>
      <c r="C165" s="502" t="s">
        <v>1557</v>
      </c>
      <c r="D165" s="27" t="s">
        <v>1065</v>
      </c>
      <c r="E165" s="26">
        <v>1</v>
      </c>
      <c r="F165" s="38">
        <v>1</v>
      </c>
      <c r="G165" s="38">
        <v>1</v>
      </c>
      <c r="H165" s="38">
        <v>3</v>
      </c>
      <c r="I165" s="38"/>
      <c r="J165" s="27" t="s">
        <v>106</v>
      </c>
      <c r="K165" s="496" t="s">
        <v>1204</v>
      </c>
      <c r="L165" s="497"/>
      <c r="M165" s="498"/>
      <c r="N165" s="41">
        <v>1</v>
      </c>
      <c r="O165" s="41">
        <v>1</v>
      </c>
      <c r="P165" s="61">
        <f>P167</f>
        <v>47361500</v>
      </c>
      <c r="Q165" s="41">
        <v>1</v>
      </c>
      <c r="R165" s="61">
        <f>R167</f>
        <v>52097650</v>
      </c>
      <c r="S165" s="41">
        <v>1</v>
      </c>
      <c r="T165" s="61">
        <f>T167</f>
        <v>57307415</v>
      </c>
      <c r="U165" s="41">
        <v>1</v>
      </c>
      <c r="V165" s="61">
        <f>V167</f>
        <v>63038156.5</v>
      </c>
      <c r="W165" s="41">
        <v>1</v>
      </c>
      <c r="X165" s="61">
        <f>X167</f>
        <v>69341972.150000006</v>
      </c>
      <c r="Y165" s="41">
        <v>1</v>
      </c>
      <c r="Z165" s="430">
        <f>X165+V165+T165+R165+P165</f>
        <v>289146693.64999998</v>
      </c>
      <c r="AA165" s="52"/>
      <c r="AB165" s="53">
        <v>500000</v>
      </c>
      <c r="AC165" s="50">
        <v>0</v>
      </c>
      <c r="AD165" s="51" t="s">
        <v>66</v>
      </c>
      <c r="AE165" s="52" t="s">
        <v>105</v>
      </c>
      <c r="AF165" s="36" t="s">
        <v>66</v>
      </c>
    </row>
    <row r="166" spans="2:32" s="32" customFormat="1" x14ac:dyDescent="0.3">
      <c r="B166" s="502"/>
      <c r="C166" s="502"/>
      <c r="D166" s="434"/>
      <c r="E166" s="33"/>
      <c r="F166" s="34"/>
      <c r="G166" s="34"/>
      <c r="H166" s="34"/>
      <c r="I166" s="34"/>
      <c r="J166" s="36"/>
      <c r="K166" s="46"/>
      <c r="L166" s="46"/>
      <c r="M166" s="362"/>
      <c r="N166" s="41"/>
      <c r="O166" s="41"/>
      <c r="P166" s="54"/>
      <c r="Q166" s="428"/>
      <c r="R166" s="37"/>
      <c r="S166" s="41"/>
      <c r="T166" s="37"/>
      <c r="U166" s="41"/>
      <c r="V166" s="37"/>
      <c r="W166" s="41"/>
      <c r="X166" s="37"/>
      <c r="Y166" s="41"/>
      <c r="Z166" s="37"/>
      <c r="AA166" s="57"/>
      <c r="AB166" s="54"/>
      <c r="AC166" s="55"/>
      <c r="AD166" s="56"/>
      <c r="AE166" s="57"/>
      <c r="AF166" s="36"/>
    </row>
    <row r="167" spans="2:32" s="32" customFormat="1" ht="15" x14ac:dyDescent="0.25">
      <c r="B167" s="502"/>
      <c r="C167" s="502"/>
      <c r="D167" s="434"/>
      <c r="E167" s="33">
        <v>1</v>
      </c>
      <c r="F167" s="34">
        <v>1</v>
      </c>
      <c r="G167" s="34">
        <v>1</v>
      </c>
      <c r="H167" s="34">
        <v>3</v>
      </c>
      <c r="I167" s="34">
        <v>2</v>
      </c>
      <c r="J167" s="36" t="s">
        <v>107</v>
      </c>
      <c r="K167" s="374" t="s">
        <v>290</v>
      </c>
      <c r="L167" s="375" t="s">
        <v>291</v>
      </c>
      <c r="M167" s="375" t="s">
        <v>292</v>
      </c>
      <c r="N167" s="36" t="s">
        <v>301</v>
      </c>
      <c r="O167" s="36" t="s">
        <v>301</v>
      </c>
      <c r="P167" s="53">
        <v>47361500</v>
      </c>
      <c r="Q167" s="36" t="s">
        <v>301</v>
      </c>
      <c r="R167" s="431">
        <f>P167+(P167*10%)</f>
        <v>52097650</v>
      </c>
      <c r="S167" s="36" t="s">
        <v>301</v>
      </c>
      <c r="T167" s="431">
        <f>R167+(R167*10%)</f>
        <v>57307415</v>
      </c>
      <c r="U167" s="36" t="s">
        <v>301</v>
      </c>
      <c r="V167" s="431">
        <f>T167+(T167*10%)</f>
        <v>63038156.5</v>
      </c>
      <c r="W167" s="36" t="s">
        <v>301</v>
      </c>
      <c r="X167" s="431">
        <f>V167+(V167*10%)</f>
        <v>69341972.150000006</v>
      </c>
      <c r="Y167" s="36" t="s">
        <v>301</v>
      </c>
      <c r="Z167" s="431">
        <f>X167+V167+T167+R167+P167</f>
        <v>289146693.64999998</v>
      </c>
      <c r="AA167" s="52" t="s">
        <v>66</v>
      </c>
      <c r="AB167" s="61">
        <f>AB173</f>
        <v>15000</v>
      </c>
      <c r="AC167" s="61">
        <f>AC173</f>
        <v>15750</v>
      </c>
      <c r="AD167" s="51"/>
      <c r="AE167" s="52"/>
      <c r="AF167" s="36" t="s">
        <v>75</v>
      </c>
    </row>
    <row r="168" spans="2:32" s="32" customFormat="1" x14ac:dyDescent="0.3">
      <c r="B168" s="502"/>
      <c r="C168" s="502"/>
      <c r="D168" s="434"/>
      <c r="E168" s="33"/>
      <c r="F168" s="34"/>
      <c r="G168" s="34"/>
      <c r="H168" s="34"/>
      <c r="I168" s="34"/>
      <c r="J168" s="36"/>
      <c r="K168" s="374" t="s">
        <v>293</v>
      </c>
      <c r="L168" s="375" t="s">
        <v>291</v>
      </c>
      <c r="M168" s="362" t="s">
        <v>341</v>
      </c>
      <c r="N168" s="36" t="s">
        <v>1100</v>
      </c>
      <c r="O168" s="36" t="s">
        <v>1100</v>
      </c>
      <c r="P168" s="54"/>
      <c r="Q168" s="36" t="s">
        <v>1100</v>
      </c>
      <c r="R168" s="37"/>
      <c r="S168" s="36" t="s">
        <v>1100</v>
      </c>
      <c r="T168" s="37"/>
      <c r="U168" s="36" t="s">
        <v>1100</v>
      </c>
      <c r="V168" s="37"/>
      <c r="W168" s="36" t="s">
        <v>1100</v>
      </c>
      <c r="X168" s="37"/>
      <c r="Y168" s="36" t="s">
        <v>1100</v>
      </c>
      <c r="Z168" s="37"/>
      <c r="AA168" s="57"/>
      <c r="AB168" s="54"/>
      <c r="AC168" s="55"/>
      <c r="AD168" s="56"/>
      <c r="AE168" s="57"/>
      <c r="AF168" s="36"/>
    </row>
    <row r="169" spans="2:32" s="32" customFormat="1" ht="28.5" x14ac:dyDescent="0.3">
      <c r="B169" s="502"/>
      <c r="C169" s="502"/>
      <c r="D169" s="434"/>
      <c r="E169" s="33"/>
      <c r="F169" s="34"/>
      <c r="G169" s="34"/>
      <c r="H169" s="34"/>
      <c r="I169" s="34"/>
      <c r="J169" s="36"/>
      <c r="K169" s="374" t="s">
        <v>294</v>
      </c>
      <c r="L169" s="375" t="s">
        <v>291</v>
      </c>
      <c r="M169" s="362" t="s">
        <v>345</v>
      </c>
      <c r="N169" s="41">
        <v>1</v>
      </c>
      <c r="O169" s="41">
        <v>1</v>
      </c>
      <c r="P169" s="54"/>
      <c r="Q169" s="41">
        <v>1</v>
      </c>
      <c r="R169" s="37"/>
      <c r="S169" s="41">
        <v>1</v>
      </c>
      <c r="T169" s="37"/>
      <c r="U169" s="41">
        <v>1</v>
      </c>
      <c r="V169" s="37"/>
      <c r="W169" s="41">
        <v>1</v>
      </c>
      <c r="X169" s="37"/>
      <c r="Y169" s="41">
        <v>1</v>
      </c>
      <c r="Z169" s="37"/>
      <c r="AA169" s="57"/>
      <c r="AB169" s="54"/>
      <c r="AC169" s="55"/>
      <c r="AD169" s="56"/>
      <c r="AE169" s="57"/>
      <c r="AF169" s="36"/>
    </row>
    <row r="170" spans="2:32" s="32" customFormat="1" ht="28.5" x14ac:dyDescent="0.3">
      <c r="B170" s="502"/>
      <c r="C170" s="502"/>
      <c r="D170" s="434"/>
      <c r="E170" s="33"/>
      <c r="F170" s="34"/>
      <c r="G170" s="34"/>
      <c r="H170" s="34"/>
      <c r="I170" s="34"/>
      <c r="J170" s="36"/>
      <c r="K170" s="374" t="s">
        <v>295</v>
      </c>
      <c r="L170" s="375" t="s">
        <v>291</v>
      </c>
      <c r="M170" s="362" t="s">
        <v>1396</v>
      </c>
      <c r="N170" s="36"/>
      <c r="O170" s="36"/>
      <c r="P170" s="54"/>
      <c r="Q170" s="36"/>
      <c r="R170" s="37"/>
      <c r="S170" s="36"/>
      <c r="T170" s="37"/>
      <c r="U170" s="36"/>
      <c r="V170" s="37"/>
      <c r="W170" s="36"/>
      <c r="X170" s="37"/>
      <c r="Y170" s="36"/>
      <c r="Z170" s="37"/>
      <c r="AA170" s="57"/>
      <c r="AB170" s="54"/>
      <c r="AC170" s="55"/>
      <c r="AD170" s="56"/>
      <c r="AE170" s="57"/>
      <c r="AF170" s="36"/>
    </row>
    <row r="171" spans="2:32" s="32" customFormat="1" x14ac:dyDescent="0.3">
      <c r="B171" s="92"/>
      <c r="C171" s="92"/>
      <c r="D171" s="439"/>
      <c r="E171" s="91"/>
      <c r="F171" s="376"/>
      <c r="G171" s="376"/>
      <c r="H171" s="376"/>
      <c r="I171" s="376"/>
      <c r="J171" s="92"/>
      <c r="K171" s="377" t="s">
        <v>297</v>
      </c>
      <c r="L171" s="378" t="s">
        <v>291</v>
      </c>
      <c r="M171" s="385" t="s">
        <v>298</v>
      </c>
      <c r="N171" s="92"/>
      <c r="O171" s="92"/>
      <c r="P171" s="387"/>
      <c r="Q171" s="92"/>
      <c r="R171" s="101"/>
      <c r="S171" s="92"/>
      <c r="T171" s="101"/>
      <c r="U171" s="92"/>
      <c r="V171" s="101"/>
      <c r="W171" s="92"/>
      <c r="X171" s="101"/>
      <c r="Y171" s="92"/>
      <c r="Z171" s="101"/>
      <c r="AA171" s="388"/>
      <c r="AB171" s="387"/>
      <c r="AC171" s="389"/>
      <c r="AD171" s="390"/>
      <c r="AE171" s="388"/>
      <c r="AF171" s="92"/>
    </row>
    <row r="172" spans="2:32" s="32" customFormat="1" x14ac:dyDescent="0.3">
      <c r="B172" s="36"/>
      <c r="C172" s="36"/>
      <c r="D172" s="434"/>
      <c r="E172" s="33"/>
      <c r="F172" s="34"/>
      <c r="G172" s="34"/>
      <c r="H172" s="34"/>
      <c r="I172" s="34"/>
      <c r="J172" s="36"/>
      <c r="K172" s="46"/>
      <c r="L172" s="46"/>
      <c r="M172" s="362"/>
      <c r="N172" s="36"/>
      <c r="O172" s="36"/>
      <c r="P172" s="54"/>
      <c r="Q172" s="36"/>
      <c r="R172" s="37"/>
      <c r="S172" s="36"/>
      <c r="T172" s="37"/>
      <c r="U172" s="36"/>
      <c r="V172" s="37"/>
      <c r="W172" s="36"/>
      <c r="X172" s="37"/>
      <c r="Y172" s="36"/>
      <c r="Z172" s="37"/>
      <c r="AA172" s="57"/>
      <c r="AB172" s="54"/>
      <c r="AC172" s="55"/>
      <c r="AD172" s="56"/>
      <c r="AE172" s="57"/>
      <c r="AF172" s="36"/>
    </row>
    <row r="173" spans="2:32" s="32" customFormat="1" ht="40.5" x14ac:dyDescent="0.25">
      <c r="B173" s="502" t="s">
        <v>1555</v>
      </c>
      <c r="C173" s="502" t="s">
        <v>1558</v>
      </c>
      <c r="D173" s="27" t="s">
        <v>1065</v>
      </c>
      <c r="E173" s="26">
        <v>1</v>
      </c>
      <c r="F173" s="38">
        <v>1</v>
      </c>
      <c r="G173" s="38">
        <v>1</v>
      </c>
      <c r="H173" s="38">
        <v>4</v>
      </c>
      <c r="I173" s="38"/>
      <c r="J173" s="27" t="s">
        <v>108</v>
      </c>
      <c r="K173" s="496" t="s">
        <v>1024</v>
      </c>
      <c r="L173" s="497"/>
      <c r="M173" s="498"/>
      <c r="N173" s="372">
        <v>1</v>
      </c>
      <c r="O173" s="372">
        <v>1</v>
      </c>
      <c r="P173" s="61">
        <f t="shared" ref="P173:R173" si="0">SUM(P175:P192)</f>
        <v>317941500</v>
      </c>
      <c r="Q173" s="372">
        <v>1</v>
      </c>
      <c r="R173" s="61">
        <f t="shared" si="0"/>
        <v>349735650</v>
      </c>
      <c r="S173" s="372">
        <v>1</v>
      </c>
      <c r="T173" s="61">
        <f t="shared" ref="T173" si="1">SUM(T175:T192)</f>
        <v>384709215</v>
      </c>
      <c r="U173" s="372">
        <v>1</v>
      </c>
      <c r="V173" s="61">
        <f t="shared" ref="V173" si="2">SUM(V175:V192)</f>
        <v>423180136.5</v>
      </c>
      <c r="W173" s="372">
        <v>1</v>
      </c>
      <c r="X173" s="61">
        <f t="shared" ref="X173" si="3">SUM(X175:X192)</f>
        <v>465498150.14999998</v>
      </c>
      <c r="Y173" s="372">
        <v>1</v>
      </c>
      <c r="Z173" s="430">
        <f>X173+V173+T173+R173+P173</f>
        <v>1941064651.6500001</v>
      </c>
      <c r="AA173" s="31"/>
      <c r="AB173" s="61">
        <v>15000</v>
      </c>
      <c r="AC173" s="82">
        <f>AB173+(AB173*5%)</f>
        <v>15750</v>
      </c>
      <c r="AD173" s="83" t="s">
        <v>66</v>
      </c>
      <c r="AE173" s="75" t="s">
        <v>81</v>
      </c>
      <c r="AF173" s="27" t="s">
        <v>109</v>
      </c>
    </row>
    <row r="174" spans="2:32" s="32" customFormat="1" x14ac:dyDescent="0.3">
      <c r="B174" s="502"/>
      <c r="C174" s="502"/>
      <c r="D174" s="434"/>
      <c r="E174" s="33"/>
      <c r="F174" s="34"/>
      <c r="G174" s="34"/>
      <c r="H174" s="34"/>
      <c r="I174" s="34"/>
      <c r="J174" s="36"/>
      <c r="K174" s="46"/>
      <c r="L174" s="46"/>
      <c r="M174" s="362"/>
      <c r="N174" s="41"/>
      <c r="O174" s="41"/>
      <c r="P174" s="54"/>
      <c r="Q174" s="41"/>
      <c r="R174" s="37"/>
      <c r="S174" s="41"/>
      <c r="T174" s="37"/>
      <c r="U174" s="41"/>
      <c r="V174" s="37"/>
      <c r="W174" s="41"/>
      <c r="X174" s="37"/>
      <c r="Y174" s="41"/>
      <c r="Z174" s="37"/>
      <c r="AA174" s="57"/>
      <c r="AB174" s="54"/>
      <c r="AC174" s="55"/>
      <c r="AD174" s="56"/>
      <c r="AE174" s="57"/>
      <c r="AF174" s="36"/>
    </row>
    <row r="175" spans="2:32" s="32" customFormat="1" ht="15" x14ac:dyDescent="0.25">
      <c r="B175" s="502"/>
      <c r="C175" s="502"/>
      <c r="D175" s="434"/>
      <c r="E175" s="33">
        <v>1</v>
      </c>
      <c r="F175" s="34">
        <v>1</v>
      </c>
      <c r="G175" s="34">
        <v>1</v>
      </c>
      <c r="H175" s="34">
        <v>4</v>
      </c>
      <c r="I175" s="34">
        <v>1</v>
      </c>
      <c r="J175" s="36" t="s">
        <v>110</v>
      </c>
      <c r="K175" s="374" t="s">
        <v>290</v>
      </c>
      <c r="L175" s="375" t="s">
        <v>291</v>
      </c>
      <c r="M175" s="375" t="s">
        <v>292</v>
      </c>
      <c r="N175" s="36" t="s">
        <v>301</v>
      </c>
      <c r="O175" s="36" t="s">
        <v>301</v>
      </c>
      <c r="P175" s="53">
        <v>206772500</v>
      </c>
      <c r="Q175" s="36" t="s">
        <v>301</v>
      </c>
      <c r="R175" s="431">
        <f>P175+(P175*10%)</f>
        <v>227449750</v>
      </c>
      <c r="S175" s="36" t="s">
        <v>301</v>
      </c>
      <c r="T175" s="431">
        <f>R175+(R175*10%)</f>
        <v>250194725</v>
      </c>
      <c r="U175" s="36" t="s">
        <v>301</v>
      </c>
      <c r="V175" s="431">
        <f>T175+(T175*10%)</f>
        <v>275214197.5</v>
      </c>
      <c r="W175" s="36" t="s">
        <v>301</v>
      </c>
      <c r="X175" s="431">
        <f>V175+(V175*10%)</f>
        <v>302735617.25</v>
      </c>
      <c r="Y175" s="36" t="s">
        <v>301</v>
      </c>
      <c r="Z175" s="431">
        <f>X175+V175+T175+R175+P175</f>
        <v>1262366789.75</v>
      </c>
      <c r="AA175" s="52" t="s">
        <v>66</v>
      </c>
      <c r="AB175" s="61">
        <f>SUM(AB177:AB198)</f>
        <v>730000</v>
      </c>
      <c r="AC175" s="61">
        <f>SUM(AC177:AC198)</f>
        <v>768000</v>
      </c>
      <c r="AD175" s="56"/>
      <c r="AE175" s="57"/>
      <c r="AF175" s="36" t="s">
        <v>75</v>
      </c>
    </row>
    <row r="176" spans="2:32" s="32" customFormat="1" ht="28.5" x14ac:dyDescent="0.3">
      <c r="B176" s="502"/>
      <c r="C176" s="502"/>
      <c r="D176" s="434"/>
      <c r="E176" s="33"/>
      <c r="F176" s="34"/>
      <c r="G176" s="34"/>
      <c r="H176" s="34"/>
      <c r="I176" s="34"/>
      <c r="J176" s="36"/>
      <c r="K176" s="374" t="s">
        <v>293</v>
      </c>
      <c r="L176" s="375" t="s">
        <v>291</v>
      </c>
      <c r="M176" s="362" t="s">
        <v>1205</v>
      </c>
      <c r="N176" s="36"/>
      <c r="O176" s="36"/>
      <c r="P176" s="53"/>
      <c r="Q176" s="36"/>
      <c r="R176" s="37"/>
      <c r="S176" s="36"/>
      <c r="T176" s="37"/>
      <c r="U176" s="36"/>
      <c r="V176" s="37"/>
      <c r="W176" s="36"/>
      <c r="X176" s="37"/>
      <c r="Y176" s="36"/>
      <c r="Z176" s="37"/>
      <c r="AA176" s="52"/>
      <c r="AB176" s="54"/>
      <c r="AC176" s="55"/>
      <c r="AD176" s="56"/>
      <c r="AE176" s="57"/>
      <c r="AF176" s="36"/>
    </row>
    <row r="177" spans="2:32" s="32" customFormat="1" ht="28.5" x14ac:dyDescent="0.25">
      <c r="B177" s="502"/>
      <c r="C177" s="502"/>
      <c r="D177" s="434"/>
      <c r="E177" s="33"/>
      <c r="F177" s="34"/>
      <c r="G177" s="34"/>
      <c r="H177" s="34"/>
      <c r="I177" s="34"/>
      <c r="J177" s="36"/>
      <c r="K177" s="46"/>
      <c r="L177" s="375" t="s">
        <v>291</v>
      </c>
      <c r="M177" s="363" t="s">
        <v>354</v>
      </c>
      <c r="N177" s="36" t="s">
        <v>360</v>
      </c>
      <c r="O177" s="36" t="s">
        <v>360</v>
      </c>
      <c r="P177" s="382"/>
      <c r="Q177" s="36" t="s">
        <v>360</v>
      </c>
      <c r="R177" s="37"/>
      <c r="S177" s="36" t="s">
        <v>360</v>
      </c>
      <c r="T177" s="37"/>
      <c r="U177" s="36" t="s">
        <v>360</v>
      </c>
      <c r="V177" s="37"/>
      <c r="W177" s="36" t="s">
        <v>360</v>
      </c>
      <c r="X177" s="37"/>
      <c r="Y177" s="36" t="s">
        <v>360</v>
      </c>
      <c r="Z177" s="37"/>
      <c r="AA177" s="52"/>
      <c r="AB177" s="53">
        <v>700000</v>
      </c>
      <c r="AC177" s="50">
        <f>AB177+(AB177*5%)</f>
        <v>735000</v>
      </c>
      <c r="AD177" s="51" t="s">
        <v>66</v>
      </c>
      <c r="AE177" s="52" t="s">
        <v>81</v>
      </c>
      <c r="AF177" s="36"/>
    </row>
    <row r="178" spans="2:32" s="32" customFormat="1" ht="15" x14ac:dyDescent="0.25">
      <c r="B178" s="502"/>
      <c r="C178" s="502"/>
      <c r="D178" s="434"/>
      <c r="E178" s="33"/>
      <c r="F178" s="34"/>
      <c r="G178" s="34"/>
      <c r="H178" s="34"/>
      <c r="I178" s="34"/>
      <c r="J178" s="36"/>
      <c r="K178" s="46"/>
      <c r="L178" s="375" t="s">
        <v>291</v>
      </c>
      <c r="M178" s="363" t="s">
        <v>355</v>
      </c>
      <c r="N178" s="36" t="s">
        <v>361</v>
      </c>
      <c r="O178" s="36" t="s">
        <v>361</v>
      </c>
      <c r="P178" s="53"/>
      <c r="Q178" s="36" t="s">
        <v>361</v>
      </c>
      <c r="R178" s="37"/>
      <c r="S178" s="36" t="s">
        <v>361</v>
      </c>
      <c r="T178" s="37"/>
      <c r="U178" s="36" t="s">
        <v>361</v>
      </c>
      <c r="V178" s="37"/>
      <c r="W178" s="36" t="s">
        <v>361</v>
      </c>
      <c r="X178" s="37"/>
      <c r="Y178" s="36" t="s">
        <v>361</v>
      </c>
      <c r="Z178" s="37"/>
      <c r="AA178" s="52"/>
      <c r="AB178" s="53"/>
      <c r="AC178" s="50"/>
      <c r="AD178" s="51"/>
      <c r="AE178" s="52"/>
      <c r="AF178" s="36"/>
    </row>
    <row r="179" spans="2:32" s="58" customFormat="1" ht="28.5" x14ac:dyDescent="0.25">
      <c r="B179" s="502"/>
      <c r="C179" s="502"/>
      <c r="D179" s="440"/>
      <c r="E179" s="33"/>
      <c r="F179" s="34"/>
      <c r="G179" s="34"/>
      <c r="H179" s="34"/>
      <c r="I179" s="34"/>
      <c r="J179" s="36"/>
      <c r="K179" s="46"/>
      <c r="L179" s="375" t="s">
        <v>291</v>
      </c>
      <c r="M179" s="363" t="s">
        <v>356</v>
      </c>
      <c r="N179" s="36" t="s">
        <v>362</v>
      </c>
      <c r="O179" s="36" t="s">
        <v>362</v>
      </c>
      <c r="P179" s="64"/>
      <c r="Q179" s="36" t="s">
        <v>362</v>
      </c>
      <c r="R179" s="37"/>
      <c r="S179" s="36" t="s">
        <v>362</v>
      </c>
      <c r="T179" s="37"/>
      <c r="U179" s="36" t="s">
        <v>362</v>
      </c>
      <c r="V179" s="37"/>
      <c r="W179" s="36" t="s">
        <v>362</v>
      </c>
      <c r="X179" s="37"/>
      <c r="Y179" s="36" t="s">
        <v>362</v>
      </c>
      <c r="Z179" s="37"/>
      <c r="AA179" s="52"/>
      <c r="AB179" s="86"/>
      <c r="AC179" s="50"/>
      <c r="AD179" s="51"/>
      <c r="AE179" s="52"/>
      <c r="AF179" s="36"/>
    </row>
    <row r="180" spans="2:32" s="32" customFormat="1" ht="42.75" x14ac:dyDescent="0.25">
      <c r="B180" s="36"/>
      <c r="C180" s="36"/>
      <c r="D180" s="434"/>
      <c r="E180" s="33"/>
      <c r="F180" s="34"/>
      <c r="G180" s="34"/>
      <c r="H180" s="34"/>
      <c r="I180" s="34"/>
      <c r="J180" s="36"/>
      <c r="K180" s="46"/>
      <c r="L180" s="375" t="s">
        <v>291</v>
      </c>
      <c r="M180" s="363" t="s">
        <v>1206</v>
      </c>
      <c r="N180" s="36" t="s">
        <v>1101</v>
      </c>
      <c r="O180" s="36" t="s">
        <v>1101</v>
      </c>
      <c r="P180" s="64"/>
      <c r="Q180" s="36" t="s">
        <v>1101</v>
      </c>
      <c r="R180" s="37"/>
      <c r="S180" s="36" t="s">
        <v>1101</v>
      </c>
      <c r="T180" s="37"/>
      <c r="U180" s="36" t="s">
        <v>1101</v>
      </c>
      <c r="V180" s="37"/>
      <c r="W180" s="36" t="s">
        <v>1101</v>
      </c>
      <c r="X180" s="37"/>
      <c r="Y180" s="36" t="s">
        <v>1101</v>
      </c>
      <c r="Z180" s="37"/>
      <c r="AA180" s="52"/>
      <c r="AB180" s="53"/>
      <c r="AC180" s="50"/>
      <c r="AD180" s="51"/>
      <c r="AE180" s="52"/>
      <c r="AF180" s="36"/>
    </row>
    <row r="181" spans="2:32" s="32" customFormat="1" ht="28.5" x14ac:dyDescent="0.25">
      <c r="B181" s="36"/>
      <c r="C181" s="36"/>
      <c r="D181" s="434"/>
      <c r="E181" s="33"/>
      <c r="F181" s="34"/>
      <c r="G181" s="34"/>
      <c r="H181" s="34"/>
      <c r="I181" s="34"/>
      <c r="J181" s="36"/>
      <c r="K181" s="46"/>
      <c r="L181" s="375" t="s">
        <v>291</v>
      </c>
      <c r="M181" s="363" t="s">
        <v>1207</v>
      </c>
      <c r="N181" s="36" t="s">
        <v>348</v>
      </c>
      <c r="O181" s="36" t="s">
        <v>348</v>
      </c>
      <c r="P181" s="64"/>
      <c r="Q181" s="36" t="s">
        <v>348</v>
      </c>
      <c r="R181" s="37"/>
      <c r="S181" s="36" t="s">
        <v>348</v>
      </c>
      <c r="T181" s="37"/>
      <c r="U181" s="36" t="s">
        <v>348</v>
      </c>
      <c r="V181" s="37"/>
      <c r="W181" s="36" t="s">
        <v>348</v>
      </c>
      <c r="X181" s="37"/>
      <c r="Y181" s="36" t="s">
        <v>348</v>
      </c>
      <c r="Z181" s="37"/>
      <c r="AA181" s="52"/>
      <c r="AB181" s="64"/>
      <c r="AC181" s="50"/>
      <c r="AD181" s="51"/>
      <c r="AE181" s="52"/>
      <c r="AF181" s="36"/>
    </row>
    <row r="182" spans="2:32" s="32" customFormat="1" ht="28.5" x14ac:dyDescent="0.25">
      <c r="B182" s="36"/>
      <c r="C182" s="36"/>
      <c r="D182" s="434"/>
      <c r="E182" s="33"/>
      <c r="F182" s="34"/>
      <c r="G182" s="34"/>
      <c r="H182" s="34"/>
      <c r="I182" s="34"/>
      <c r="J182" s="36"/>
      <c r="K182" s="46"/>
      <c r="L182" s="375" t="s">
        <v>291</v>
      </c>
      <c r="M182" s="363" t="s">
        <v>1208</v>
      </c>
      <c r="N182" s="36" t="s">
        <v>1102</v>
      </c>
      <c r="O182" s="36" t="s">
        <v>1102</v>
      </c>
      <c r="P182" s="53"/>
      <c r="Q182" s="36" t="s">
        <v>1102</v>
      </c>
      <c r="R182" s="37"/>
      <c r="S182" s="36" t="s">
        <v>1102</v>
      </c>
      <c r="T182" s="37"/>
      <c r="U182" s="36" t="s">
        <v>1102</v>
      </c>
      <c r="V182" s="37"/>
      <c r="W182" s="36" t="s">
        <v>1102</v>
      </c>
      <c r="X182" s="37"/>
      <c r="Y182" s="36" t="s">
        <v>1102</v>
      </c>
      <c r="Z182" s="37"/>
      <c r="AA182" s="52"/>
      <c r="AB182" s="64"/>
      <c r="AC182" s="50"/>
      <c r="AD182" s="51"/>
      <c r="AE182" s="52"/>
      <c r="AF182" s="36"/>
    </row>
    <row r="183" spans="2:32" s="58" customFormat="1" ht="28.5" x14ac:dyDescent="0.25">
      <c r="B183" s="36"/>
      <c r="C183" s="36"/>
      <c r="D183" s="440"/>
      <c r="E183" s="33"/>
      <c r="F183" s="34"/>
      <c r="G183" s="34"/>
      <c r="H183" s="34"/>
      <c r="I183" s="34"/>
      <c r="J183" s="36"/>
      <c r="K183" s="46"/>
      <c r="L183" s="375" t="s">
        <v>291</v>
      </c>
      <c r="M183" s="363" t="s">
        <v>1209</v>
      </c>
      <c r="N183" s="36" t="s">
        <v>363</v>
      </c>
      <c r="O183" s="36" t="s">
        <v>363</v>
      </c>
      <c r="P183" s="64"/>
      <c r="Q183" s="36" t="s">
        <v>363</v>
      </c>
      <c r="R183" s="37"/>
      <c r="S183" s="36" t="s">
        <v>363</v>
      </c>
      <c r="T183" s="37"/>
      <c r="U183" s="36" t="s">
        <v>363</v>
      </c>
      <c r="V183" s="37"/>
      <c r="W183" s="36" t="s">
        <v>363</v>
      </c>
      <c r="X183" s="37"/>
      <c r="Y183" s="36" t="s">
        <v>363</v>
      </c>
      <c r="Z183" s="37"/>
      <c r="AA183" s="52"/>
      <c r="AB183" s="64"/>
      <c r="AC183" s="50"/>
      <c r="AD183" s="51"/>
      <c r="AE183" s="52"/>
      <c r="AF183" s="36"/>
    </row>
    <row r="184" spans="2:32" s="58" customFormat="1" ht="28.5" x14ac:dyDescent="0.25">
      <c r="B184" s="36"/>
      <c r="C184" s="36"/>
      <c r="D184" s="440"/>
      <c r="E184" s="33"/>
      <c r="F184" s="34"/>
      <c r="G184" s="34"/>
      <c r="H184" s="34"/>
      <c r="I184" s="34"/>
      <c r="J184" s="36"/>
      <c r="K184" s="46"/>
      <c r="L184" s="375" t="s">
        <v>291</v>
      </c>
      <c r="M184" s="363" t="s">
        <v>1210</v>
      </c>
      <c r="N184" s="36" t="s">
        <v>1103</v>
      </c>
      <c r="O184" s="36" t="s">
        <v>1103</v>
      </c>
      <c r="P184" s="53"/>
      <c r="Q184" s="36" t="s">
        <v>1103</v>
      </c>
      <c r="R184" s="37"/>
      <c r="S184" s="36" t="s">
        <v>1103</v>
      </c>
      <c r="T184" s="37"/>
      <c r="U184" s="36" t="s">
        <v>1103</v>
      </c>
      <c r="V184" s="37"/>
      <c r="W184" s="36" t="s">
        <v>1103</v>
      </c>
      <c r="X184" s="37"/>
      <c r="Y184" s="36" t="s">
        <v>1103</v>
      </c>
      <c r="Z184" s="37"/>
      <c r="AA184" s="52"/>
      <c r="AB184" s="53"/>
      <c r="AC184" s="50"/>
      <c r="AD184" s="51"/>
      <c r="AE184" s="52"/>
      <c r="AF184" s="36"/>
    </row>
    <row r="185" spans="2:32" s="58" customFormat="1" ht="42.75" x14ac:dyDescent="0.25">
      <c r="B185" s="36"/>
      <c r="C185" s="36"/>
      <c r="D185" s="440"/>
      <c r="E185" s="33"/>
      <c r="F185" s="34"/>
      <c r="G185" s="34"/>
      <c r="H185" s="34"/>
      <c r="I185" s="34"/>
      <c r="J185" s="36"/>
      <c r="K185" s="46"/>
      <c r="L185" s="375" t="s">
        <v>291</v>
      </c>
      <c r="M185" s="363" t="s">
        <v>1211</v>
      </c>
      <c r="N185" s="36" t="s">
        <v>1104</v>
      </c>
      <c r="O185" s="36" t="s">
        <v>1104</v>
      </c>
      <c r="P185" s="53"/>
      <c r="Q185" s="36" t="s">
        <v>1104</v>
      </c>
      <c r="R185" s="37"/>
      <c r="S185" s="36" t="s">
        <v>1104</v>
      </c>
      <c r="T185" s="37"/>
      <c r="U185" s="36" t="s">
        <v>1104</v>
      </c>
      <c r="V185" s="37"/>
      <c r="W185" s="36" t="s">
        <v>1104</v>
      </c>
      <c r="X185" s="37"/>
      <c r="Y185" s="36" t="s">
        <v>1104</v>
      </c>
      <c r="Z185" s="37"/>
      <c r="AA185" s="52"/>
      <c r="AB185" s="64"/>
      <c r="AC185" s="50"/>
      <c r="AD185" s="51"/>
      <c r="AE185" s="52"/>
      <c r="AF185" s="36"/>
    </row>
    <row r="186" spans="2:32" s="58" customFormat="1" ht="15" x14ac:dyDescent="0.25">
      <c r="B186" s="36"/>
      <c r="C186" s="36"/>
      <c r="D186" s="440"/>
      <c r="E186" s="33"/>
      <c r="F186" s="34"/>
      <c r="G186" s="34"/>
      <c r="H186" s="34"/>
      <c r="I186" s="34"/>
      <c r="J186" s="36"/>
      <c r="K186" s="46"/>
      <c r="L186" s="375" t="s">
        <v>291</v>
      </c>
      <c r="M186" s="363" t="s">
        <v>1212</v>
      </c>
      <c r="N186" s="36" t="s">
        <v>1105</v>
      </c>
      <c r="O186" s="36" t="s">
        <v>1105</v>
      </c>
      <c r="P186" s="53"/>
      <c r="Q186" s="36" t="s">
        <v>1105</v>
      </c>
      <c r="R186" s="37"/>
      <c r="S186" s="36" t="s">
        <v>1105</v>
      </c>
      <c r="T186" s="37"/>
      <c r="U186" s="36" t="s">
        <v>1105</v>
      </c>
      <c r="V186" s="37"/>
      <c r="W186" s="36" t="s">
        <v>1105</v>
      </c>
      <c r="X186" s="37"/>
      <c r="Y186" s="36" t="s">
        <v>1105</v>
      </c>
      <c r="Z186" s="37"/>
      <c r="AA186" s="52"/>
      <c r="AB186" s="53"/>
      <c r="AC186" s="50"/>
      <c r="AD186" s="51"/>
      <c r="AE186" s="52"/>
      <c r="AF186" s="36"/>
    </row>
    <row r="187" spans="2:32" s="58" customFormat="1" ht="15" x14ac:dyDescent="0.25">
      <c r="B187" s="36"/>
      <c r="C187" s="36"/>
      <c r="D187" s="440"/>
      <c r="E187" s="33"/>
      <c r="F187" s="34"/>
      <c r="G187" s="34"/>
      <c r="H187" s="34"/>
      <c r="I187" s="34"/>
      <c r="J187" s="36"/>
      <c r="K187" s="46"/>
      <c r="L187" s="375" t="s">
        <v>291</v>
      </c>
      <c r="M187" s="363" t="s">
        <v>1213</v>
      </c>
      <c r="N187" s="36" t="s">
        <v>1106</v>
      </c>
      <c r="O187" s="36" t="s">
        <v>1106</v>
      </c>
      <c r="P187" s="53"/>
      <c r="Q187" s="36" t="s">
        <v>1106</v>
      </c>
      <c r="R187" s="37"/>
      <c r="S187" s="36" t="s">
        <v>1106</v>
      </c>
      <c r="T187" s="37"/>
      <c r="U187" s="36" t="s">
        <v>1106</v>
      </c>
      <c r="V187" s="37"/>
      <c r="W187" s="36" t="s">
        <v>1106</v>
      </c>
      <c r="X187" s="37"/>
      <c r="Y187" s="36" t="s">
        <v>1106</v>
      </c>
      <c r="Z187" s="37"/>
      <c r="AA187" s="52"/>
      <c r="AB187" s="53"/>
      <c r="AC187" s="50"/>
      <c r="AD187" s="51"/>
      <c r="AE187" s="52"/>
      <c r="AF187" s="36"/>
    </row>
    <row r="188" spans="2:32" s="58" customFormat="1" ht="28.5" x14ac:dyDescent="0.25">
      <c r="B188" s="36"/>
      <c r="C188" s="36"/>
      <c r="D188" s="440"/>
      <c r="E188" s="33"/>
      <c r="F188" s="34"/>
      <c r="G188" s="34"/>
      <c r="H188" s="34"/>
      <c r="I188" s="34"/>
      <c r="J188" s="36"/>
      <c r="K188" s="374" t="s">
        <v>294</v>
      </c>
      <c r="L188" s="375" t="s">
        <v>291</v>
      </c>
      <c r="M188" s="362" t="s">
        <v>1397</v>
      </c>
      <c r="N188" s="41">
        <v>1</v>
      </c>
      <c r="O188" s="41">
        <v>1</v>
      </c>
      <c r="P188" s="53"/>
      <c r="Q188" s="41">
        <v>1</v>
      </c>
      <c r="R188" s="37"/>
      <c r="S188" s="41">
        <v>1</v>
      </c>
      <c r="T188" s="37"/>
      <c r="U188" s="41">
        <v>1</v>
      </c>
      <c r="V188" s="37"/>
      <c r="W188" s="41">
        <v>1</v>
      </c>
      <c r="X188" s="37"/>
      <c r="Y188" s="41">
        <v>1</v>
      </c>
      <c r="Z188" s="37"/>
      <c r="AA188" s="52"/>
      <c r="AB188" s="53"/>
      <c r="AC188" s="50"/>
      <c r="AD188" s="51"/>
      <c r="AE188" s="52"/>
      <c r="AF188" s="36"/>
    </row>
    <row r="189" spans="2:32" s="58" customFormat="1" ht="28.5" x14ac:dyDescent="0.25">
      <c r="B189" s="36"/>
      <c r="C189" s="36"/>
      <c r="D189" s="440"/>
      <c r="E189" s="33"/>
      <c r="F189" s="34"/>
      <c r="G189" s="34"/>
      <c r="H189" s="34"/>
      <c r="I189" s="34"/>
      <c r="J189" s="36"/>
      <c r="K189" s="374" t="s">
        <v>295</v>
      </c>
      <c r="L189" s="375" t="s">
        <v>291</v>
      </c>
      <c r="M189" s="362" t="s">
        <v>1396</v>
      </c>
      <c r="N189" s="36"/>
      <c r="O189" s="36"/>
      <c r="P189" s="53"/>
      <c r="Q189" s="36"/>
      <c r="R189" s="37"/>
      <c r="S189" s="36"/>
      <c r="T189" s="37"/>
      <c r="U189" s="36"/>
      <c r="V189" s="37"/>
      <c r="W189" s="36"/>
      <c r="X189" s="37"/>
      <c r="Y189" s="36"/>
      <c r="Z189" s="37"/>
      <c r="AA189" s="52"/>
      <c r="AB189" s="53"/>
      <c r="AC189" s="50"/>
      <c r="AD189" s="51"/>
      <c r="AE189" s="52"/>
      <c r="AF189" s="36"/>
    </row>
    <row r="190" spans="2:32" s="58" customFormat="1" x14ac:dyDescent="0.3">
      <c r="B190" s="92"/>
      <c r="C190" s="92"/>
      <c r="D190" s="437"/>
      <c r="E190" s="91"/>
      <c r="F190" s="376"/>
      <c r="G190" s="376"/>
      <c r="H190" s="376"/>
      <c r="I190" s="376"/>
      <c r="J190" s="92"/>
      <c r="K190" s="377" t="s">
        <v>297</v>
      </c>
      <c r="L190" s="378" t="s">
        <v>291</v>
      </c>
      <c r="M190" s="385" t="s">
        <v>298</v>
      </c>
      <c r="N190" s="92"/>
      <c r="O190" s="92"/>
      <c r="P190" s="381"/>
      <c r="Q190" s="92"/>
      <c r="R190" s="101"/>
      <c r="S190" s="92"/>
      <c r="T190" s="101"/>
      <c r="U190" s="92"/>
      <c r="V190" s="101"/>
      <c r="W190" s="92"/>
      <c r="X190" s="101"/>
      <c r="Y190" s="92"/>
      <c r="Z190" s="101"/>
      <c r="AA190" s="95"/>
      <c r="AB190" s="381"/>
      <c r="AC190" s="93"/>
      <c r="AD190" s="94"/>
      <c r="AE190" s="95"/>
      <c r="AF190" s="92"/>
    </row>
    <row r="191" spans="2:32" s="58" customFormat="1" ht="15" x14ac:dyDescent="0.25">
      <c r="B191" s="36"/>
      <c r="C191" s="36"/>
      <c r="D191" s="440"/>
      <c r="E191" s="33"/>
      <c r="F191" s="34"/>
      <c r="G191" s="34"/>
      <c r="H191" s="34"/>
      <c r="I191" s="34"/>
      <c r="J191" s="36"/>
      <c r="K191" s="46"/>
      <c r="L191" s="46"/>
      <c r="M191" s="363"/>
      <c r="N191" s="36"/>
      <c r="O191" s="36"/>
      <c r="P191" s="53"/>
      <c r="Q191" s="36"/>
      <c r="R191" s="37"/>
      <c r="S191" s="36"/>
      <c r="T191" s="37"/>
      <c r="U191" s="36"/>
      <c r="V191" s="37"/>
      <c r="W191" s="36"/>
      <c r="X191" s="37"/>
      <c r="Y191" s="36"/>
      <c r="Z191" s="37"/>
      <c r="AA191" s="52"/>
      <c r="AB191" s="53"/>
      <c r="AC191" s="50"/>
      <c r="AD191" s="51"/>
      <c r="AE191" s="52"/>
      <c r="AF191" s="36"/>
    </row>
    <row r="192" spans="2:32" s="58" customFormat="1" ht="15" x14ac:dyDescent="0.25">
      <c r="B192" s="36"/>
      <c r="C192" s="36"/>
      <c r="D192" s="440"/>
      <c r="E192" s="33">
        <v>1</v>
      </c>
      <c r="F192" s="34">
        <v>1</v>
      </c>
      <c r="G192" s="34">
        <v>1</v>
      </c>
      <c r="H192" s="34">
        <v>4</v>
      </c>
      <c r="I192" s="65">
        <v>2</v>
      </c>
      <c r="J192" s="36" t="s">
        <v>111</v>
      </c>
      <c r="K192" s="374" t="s">
        <v>290</v>
      </c>
      <c r="L192" s="375" t="s">
        <v>291</v>
      </c>
      <c r="M192" s="375" t="s">
        <v>292</v>
      </c>
      <c r="N192" s="36" t="s">
        <v>301</v>
      </c>
      <c r="O192" s="36" t="s">
        <v>301</v>
      </c>
      <c r="P192" s="53">
        <v>111169000</v>
      </c>
      <c r="Q192" s="36" t="s">
        <v>301</v>
      </c>
      <c r="R192" s="431">
        <f>P192+(P192*10%)</f>
        <v>122285900</v>
      </c>
      <c r="S192" s="36" t="s">
        <v>301</v>
      </c>
      <c r="T192" s="431">
        <f>R192+(R192*10%)</f>
        <v>134514490</v>
      </c>
      <c r="U192" s="36" t="s">
        <v>301</v>
      </c>
      <c r="V192" s="431">
        <f>T192+(T192*10%)</f>
        <v>147965939</v>
      </c>
      <c r="W192" s="36" t="s">
        <v>301</v>
      </c>
      <c r="X192" s="431">
        <f>V192+(V192*10%)</f>
        <v>162762532.90000001</v>
      </c>
      <c r="Y192" s="36" t="s">
        <v>301</v>
      </c>
      <c r="Z192" s="431">
        <f>X192+V192+T192+R192+P192</f>
        <v>678697861.89999998</v>
      </c>
      <c r="AA192" s="52" t="s">
        <v>66</v>
      </c>
      <c r="AB192" s="53"/>
      <c r="AC192" s="50"/>
      <c r="AD192" s="51"/>
      <c r="AE192" s="52"/>
      <c r="AF192" s="36" t="s">
        <v>112</v>
      </c>
    </row>
    <row r="193" spans="2:32" s="32" customFormat="1" ht="28.5" x14ac:dyDescent="0.3">
      <c r="B193" s="36"/>
      <c r="C193" s="36"/>
      <c r="D193" s="434"/>
      <c r="E193" s="33"/>
      <c r="F193" s="34"/>
      <c r="G193" s="34"/>
      <c r="H193" s="34"/>
      <c r="I193" s="34"/>
      <c r="J193" s="36"/>
      <c r="K193" s="374" t="s">
        <v>293</v>
      </c>
      <c r="L193" s="375" t="s">
        <v>291</v>
      </c>
      <c r="M193" s="362" t="s">
        <v>1214</v>
      </c>
      <c r="N193" s="36" t="s">
        <v>1107</v>
      </c>
      <c r="O193" s="36" t="s">
        <v>1107</v>
      </c>
      <c r="P193" s="54"/>
      <c r="Q193" s="36" t="s">
        <v>1107</v>
      </c>
      <c r="R193" s="37"/>
      <c r="S193" s="36" t="s">
        <v>1107</v>
      </c>
      <c r="T193" s="37"/>
      <c r="U193" s="36" t="s">
        <v>1107</v>
      </c>
      <c r="V193" s="37"/>
      <c r="W193" s="36" t="s">
        <v>1107</v>
      </c>
      <c r="X193" s="37"/>
      <c r="Y193" s="36" t="s">
        <v>1107</v>
      </c>
      <c r="Z193" s="37"/>
      <c r="AA193" s="57"/>
      <c r="AB193" s="53"/>
      <c r="AC193" s="50"/>
      <c r="AD193" s="51"/>
      <c r="AE193" s="52"/>
      <c r="AF193" s="36"/>
    </row>
    <row r="194" spans="2:32" s="32" customFormat="1" ht="28.5" x14ac:dyDescent="0.3">
      <c r="B194" s="36"/>
      <c r="C194" s="36"/>
      <c r="D194" s="434"/>
      <c r="E194" s="33"/>
      <c r="F194" s="34"/>
      <c r="G194" s="34"/>
      <c r="H194" s="34"/>
      <c r="I194" s="34"/>
      <c r="J194" s="36"/>
      <c r="K194" s="374" t="s">
        <v>294</v>
      </c>
      <c r="L194" s="375" t="s">
        <v>291</v>
      </c>
      <c r="M194" s="362" t="s">
        <v>371</v>
      </c>
      <c r="N194" s="41">
        <v>1</v>
      </c>
      <c r="O194" s="41">
        <v>1</v>
      </c>
      <c r="P194" s="54"/>
      <c r="Q194" s="41">
        <v>1</v>
      </c>
      <c r="R194" s="37"/>
      <c r="S194" s="41">
        <v>1</v>
      </c>
      <c r="T194" s="37"/>
      <c r="U194" s="41">
        <v>1</v>
      </c>
      <c r="V194" s="37"/>
      <c r="W194" s="41">
        <v>1</v>
      </c>
      <c r="X194" s="37"/>
      <c r="Y194" s="41">
        <v>1</v>
      </c>
      <c r="Z194" s="37"/>
      <c r="AA194" s="57"/>
      <c r="AB194" s="53"/>
      <c r="AC194" s="50"/>
      <c r="AD194" s="51"/>
      <c r="AE194" s="52"/>
      <c r="AF194" s="36"/>
    </row>
    <row r="195" spans="2:32" s="32" customFormat="1" ht="28.5" x14ac:dyDescent="0.3">
      <c r="B195" s="36"/>
      <c r="C195" s="36"/>
      <c r="D195" s="434"/>
      <c r="E195" s="33"/>
      <c r="F195" s="34"/>
      <c r="G195" s="34"/>
      <c r="H195" s="34"/>
      <c r="I195" s="34"/>
      <c r="J195" s="36"/>
      <c r="K195" s="374" t="s">
        <v>295</v>
      </c>
      <c r="L195" s="375" t="s">
        <v>291</v>
      </c>
      <c r="M195" s="395" t="s">
        <v>422</v>
      </c>
      <c r="N195" s="397"/>
      <c r="O195" s="397"/>
      <c r="P195" s="54"/>
      <c r="Q195" s="397"/>
      <c r="R195" s="37"/>
      <c r="S195" s="397"/>
      <c r="T195" s="37"/>
      <c r="U195" s="397"/>
      <c r="V195" s="37"/>
      <c r="W195" s="397"/>
      <c r="X195" s="37"/>
      <c r="Y195" s="397"/>
      <c r="Z195" s="37"/>
      <c r="AA195" s="57"/>
      <c r="AB195" s="53"/>
      <c r="AC195" s="50"/>
      <c r="AD195" s="51"/>
      <c r="AE195" s="52"/>
      <c r="AF195" s="36"/>
    </row>
    <row r="196" spans="2:32" s="32" customFormat="1" x14ac:dyDescent="0.3">
      <c r="B196" s="92"/>
      <c r="C196" s="92"/>
      <c r="D196" s="439"/>
      <c r="E196" s="91"/>
      <c r="F196" s="376"/>
      <c r="G196" s="376"/>
      <c r="H196" s="376"/>
      <c r="I196" s="376"/>
      <c r="J196" s="92"/>
      <c r="K196" s="377" t="s">
        <v>297</v>
      </c>
      <c r="L196" s="378" t="s">
        <v>291</v>
      </c>
      <c r="M196" s="396" t="s">
        <v>298</v>
      </c>
      <c r="N196" s="92"/>
      <c r="O196" s="92"/>
      <c r="P196" s="387"/>
      <c r="Q196" s="92"/>
      <c r="R196" s="101"/>
      <c r="S196" s="92"/>
      <c r="T196" s="101"/>
      <c r="U196" s="92"/>
      <c r="V196" s="101"/>
      <c r="W196" s="92"/>
      <c r="X196" s="101"/>
      <c r="Y196" s="92"/>
      <c r="Z196" s="101"/>
      <c r="AA196" s="388"/>
      <c r="AB196" s="381"/>
      <c r="AC196" s="93"/>
      <c r="AD196" s="94"/>
      <c r="AE196" s="95"/>
      <c r="AF196" s="92"/>
    </row>
    <row r="197" spans="2:32" s="32" customFormat="1" x14ac:dyDescent="0.3">
      <c r="B197" s="36"/>
      <c r="C197" s="36"/>
      <c r="D197" s="434"/>
      <c r="E197" s="33"/>
      <c r="F197" s="34"/>
      <c r="G197" s="34"/>
      <c r="H197" s="34"/>
      <c r="I197" s="34"/>
      <c r="J197" s="36"/>
      <c r="K197" s="46"/>
      <c r="L197" s="46"/>
      <c r="M197" s="362"/>
      <c r="N197" s="36"/>
      <c r="O197" s="36"/>
      <c r="P197" s="54"/>
      <c r="Q197" s="36"/>
      <c r="R197" s="37"/>
      <c r="S197" s="36"/>
      <c r="T197" s="37"/>
      <c r="U197" s="36"/>
      <c r="V197" s="37"/>
      <c r="W197" s="36"/>
      <c r="X197" s="37"/>
      <c r="Y197" s="36"/>
      <c r="Z197" s="37"/>
      <c r="AA197" s="57"/>
      <c r="AB197" s="53"/>
      <c r="AC197" s="50"/>
      <c r="AD197" s="51"/>
      <c r="AE197" s="52"/>
      <c r="AF197" s="36"/>
    </row>
    <row r="198" spans="2:32" s="32" customFormat="1" ht="81" x14ac:dyDescent="0.25">
      <c r="B198" s="503" t="s">
        <v>1555</v>
      </c>
      <c r="C198" s="503" t="s">
        <v>1559</v>
      </c>
      <c r="D198" s="427" t="s">
        <v>1066</v>
      </c>
      <c r="E198" s="26">
        <v>1</v>
      </c>
      <c r="F198" s="38">
        <v>1</v>
      </c>
      <c r="G198" s="38">
        <v>1</v>
      </c>
      <c r="H198" s="38">
        <v>5</v>
      </c>
      <c r="I198" s="38"/>
      <c r="J198" s="27" t="s">
        <v>113</v>
      </c>
      <c r="K198" s="496" t="s">
        <v>1215</v>
      </c>
      <c r="L198" s="497"/>
      <c r="M198" s="498"/>
      <c r="N198" s="372">
        <v>1</v>
      </c>
      <c r="O198" s="372">
        <v>1</v>
      </c>
      <c r="P198" s="61">
        <f t="shared" ref="P198:R198" si="4">SUM(P200:P218)</f>
        <v>854675500</v>
      </c>
      <c r="Q198" s="372">
        <v>1</v>
      </c>
      <c r="R198" s="61">
        <f t="shared" si="4"/>
        <v>940143050</v>
      </c>
      <c r="S198" s="372">
        <v>1</v>
      </c>
      <c r="T198" s="61">
        <f t="shared" ref="T198" si="5">SUM(T200:T218)</f>
        <v>1034157355</v>
      </c>
      <c r="U198" s="372">
        <v>1</v>
      </c>
      <c r="V198" s="61">
        <f t="shared" ref="V198" si="6">SUM(V200:V218)</f>
        <v>1137573090.5</v>
      </c>
      <c r="W198" s="372">
        <v>1</v>
      </c>
      <c r="X198" s="61">
        <f t="shared" ref="X198" si="7">SUM(X200:X218)</f>
        <v>1251330399.55</v>
      </c>
      <c r="Y198" s="372">
        <v>1</v>
      </c>
      <c r="Z198" s="430">
        <f>X198+V198+T198+R198+P198</f>
        <v>5217879395.0500002</v>
      </c>
      <c r="AA198" s="75"/>
      <c r="AB198" s="61">
        <v>30000</v>
      </c>
      <c r="AC198" s="82">
        <f>AB198+(AB198*10%)</f>
        <v>33000</v>
      </c>
      <c r="AD198" s="83" t="s">
        <v>66</v>
      </c>
      <c r="AE198" s="75" t="s">
        <v>81</v>
      </c>
      <c r="AF198" s="27" t="s">
        <v>75</v>
      </c>
    </row>
    <row r="199" spans="2:32" s="32" customFormat="1" x14ac:dyDescent="0.3">
      <c r="B199" s="503"/>
      <c r="C199" s="503"/>
      <c r="D199" s="434"/>
      <c r="E199" s="33"/>
      <c r="F199" s="34"/>
      <c r="G199" s="34"/>
      <c r="H199" s="34"/>
      <c r="I199" s="34"/>
      <c r="J199" s="36"/>
      <c r="K199" s="46"/>
      <c r="L199" s="46"/>
      <c r="M199" s="362"/>
      <c r="N199" s="41"/>
      <c r="O199" s="41"/>
      <c r="P199" s="53"/>
      <c r="Q199" s="41"/>
      <c r="R199" s="37"/>
      <c r="S199" s="41"/>
      <c r="T199" s="37"/>
      <c r="U199" s="41"/>
      <c r="V199" s="37"/>
      <c r="W199" s="41"/>
      <c r="X199" s="37"/>
      <c r="Y199" s="41"/>
      <c r="Z199" s="37"/>
      <c r="AA199" s="52"/>
      <c r="AB199" s="54"/>
      <c r="AC199" s="55"/>
      <c r="AD199" s="56"/>
      <c r="AE199" s="57"/>
      <c r="AF199" s="36"/>
    </row>
    <row r="200" spans="2:32" s="32" customFormat="1" ht="28.5" x14ac:dyDescent="0.25">
      <c r="B200" s="503"/>
      <c r="C200" s="503"/>
      <c r="D200" s="434"/>
      <c r="E200" s="33">
        <v>1</v>
      </c>
      <c r="F200" s="34">
        <v>1</v>
      </c>
      <c r="G200" s="34">
        <v>1</v>
      </c>
      <c r="H200" s="34">
        <v>5</v>
      </c>
      <c r="I200" s="34">
        <v>1</v>
      </c>
      <c r="J200" s="36" t="s">
        <v>114</v>
      </c>
      <c r="K200" s="374" t="s">
        <v>290</v>
      </c>
      <c r="L200" s="375" t="s">
        <v>291</v>
      </c>
      <c r="M200" s="375" t="s">
        <v>292</v>
      </c>
      <c r="N200" s="36" t="s">
        <v>301</v>
      </c>
      <c r="O200" s="36" t="s">
        <v>301</v>
      </c>
      <c r="P200" s="53">
        <v>25157500</v>
      </c>
      <c r="Q200" s="36" t="s">
        <v>301</v>
      </c>
      <c r="R200" s="431">
        <f>P200+(P200*10%)</f>
        <v>27673250</v>
      </c>
      <c r="S200" s="36" t="s">
        <v>301</v>
      </c>
      <c r="T200" s="431">
        <f>R200+(R200*10%)</f>
        <v>30440575</v>
      </c>
      <c r="U200" s="36" t="s">
        <v>301</v>
      </c>
      <c r="V200" s="431">
        <f>T200+(T200*10%)</f>
        <v>33484632.5</v>
      </c>
      <c r="W200" s="36" t="s">
        <v>301</v>
      </c>
      <c r="X200" s="431">
        <f>V200+(V200*10%)</f>
        <v>36833095.75</v>
      </c>
      <c r="Y200" s="36" t="s">
        <v>301</v>
      </c>
      <c r="Z200" s="431">
        <f>X200+V200+T200+R200+P200</f>
        <v>153589053.25</v>
      </c>
      <c r="AA200" s="52" t="s">
        <v>84</v>
      </c>
      <c r="AB200" s="61">
        <f>SUM(AB206:AB224)</f>
        <v>212750</v>
      </c>
      <c r="AC200" s="61">
        <f>SUM(AC206:AC224)</f>
        <v>223387.5</v>
      </c>
      <c r="AD200" s="51"/>
      <c r="AE200" s="52"/>
      <c r="AF200" s="36" t="s">
        <v>115</v>
      </c>
    </row>
    <row r="201" spans="2:32" s="32" customFormat="1" x14ac:dyDescent="0.3">
      <c r="B201" s="36"/>
      <c r="C201" s="36"/>
      <c r="D201" s="434"/>
      <c r="E201" s="33"/>
      <c r="F201" s="34"/>
      <c r="G201" s="34"/>
      <c r="H201" s="34"/>
      <c r="I201" s="34"/>
      <c r="J201" s="36"/>
      <c r="K201" s="374" t="s">
        <v>293</v>
      </c>
      <c r="L201" s="375" t="s">
        <v>291</v>
      </c>
      <c r="M201" s="362" t="s">
        <v>1216</v>
      </c>
      <c r="N201" s="36" t="s">
        <v>431</v>
      </c>
      <c r="O201" s="36" t="s">
        <v>431</v>
      </c>
      <c r="P201" s="54"/>
      <c r="Q201" s="36" t="s">
        <v>431</v>
      </c>
      <c r="R201" s="37"/>
      <c r="S201" s="36" t="s">
        <v>431</v>
      </c>
      <c r="T201" s="37"/>
      <c r="U201" s="36" t="s">
        <v>431</v>
      </c>
      <c r="V201" s="37"/>
      <c r="W201" s="36" t="s">
        <v>431</v>
      </c>
      <c r="X201" s="37"/>
      <c r="Y201" s="36" t="s">
        <v>431</v>
      </c>
      <c r="Z201" s="37"/>
      <c r="AA201" s="57"/>
      <c r="AB201" s="53"/>
      <c r="AC201" s="50"/>
      <c r="AD201" s="51"/>
      <c r="AE201" s="52"/>
      <c r="AF201" s="36"/>
    </row>
    <row r="202" spans="2:32" s="32" customFormat="1" ht="28.5" x14ac:dyDescent="0.3">
      <c r="B202" s="36"/>
      <c r="C202" s="36"/>
      <c r="D202" s="434"/>
      <c r="E202" s="33"/>
      <c r="F202" s="34"/>
      <c r="G202" s="34"/>
      <c r="H202" s="34"/>
      <c r="I202" s="34"/>
      <c r="J202" s="36"/>
      <c r="K202" s="374" t="s">
        <v>294</v>
      </c>
      <c r="L202" s="375" t="s">
        <v>291</v>
      </c>
      <c r="M202" s="362" t="s">
        <v>436</v>
      </c>
      <c r="N202" s="41" t="s">
        <v>431</v>
      </c>
      <c r="O202" s="41" t="s">
        <v>431</v>
      </c>
      <c r="P202" s="54"/>
      <c r="Q202" s="41" t="s">
        <v>431</v>
      </c>
      <c r="R202" s="37"/>
      <c r="S202" s="41" t="s">
        <v>431</v>
      </c>
      <c r="T202" s="37"/>
      <c r="U202" s="41" t="s">
        <v>431</v>
      </c>
      <c r="V202" s="37"/>
      <c r="W202" s="41" t="s">
        <v>431</v>
      </c>
      <c r="X202" s="37"/>
      <c r="Y202" s="41" t="s">
        <v>431</v>
      </c>
      <c r="Z202" s="37"/>
      <c r="AA202" s="57"/>
      <c r="AB202" s="53"/>
      <c r="AC202" s="50"/>
      <c r="AD202" s="51"/>
      <c r="AE202" s="52"/>
      <c r="AF202" s="36"/>
    </row>
    <row r="203" spans="2:32" s="32" customFormat="1" x14ac:dyDescent="0.3">
      <c r="B203" s="36"/>
      <c r="C203" s="36"/>
      <c r="D203" s="434"/>
      <c r="E203" s="33"/>
      <c r="F203" s="34"/>
      <c r="G203" s="34"/>
      <c r="H203" s="34"/>
      <c r="I203" s="34"/>
      <c r="J203" s="36"/>
      <c r="K203" s="374" t="s">
        <v>295</v>
      </c>
      <c r="L203" s="375" t="s">
        <v>291</v>
      </c>
      <c r="M203" s="384" t="s">
        <v>1398</v>
      </c>
      <c r="N203" s="36"/>
      <c r="O203" s="36"/>
      <c r="P203" s="54"/>
      <c r="Q203" s="36"/>
      <c r="R203" s="37"/>
      <c r="S203" s="36"/>
      <c r="T203" s="37"/>
      <c r="U203" s="36"/>
      <c r="V203" s="37"/>
      <c r="W203" s="36"/>
      <c r="X203" s="37"/>
      <c r="Y203" s="36"/>
      <c r="Z203" s="37"/>
      <c r="AA203" s="57"/>
      <c r="AB203" s="53"/>
      <c r="AC203" s="50"/>
      <c r="AD203" s="51"/>
      <c r="AE203" s="52"/>
      <c r="AF203" s="36"/>
    </row>
    <row r="204" spans="2:32" s="32" customFormat="1" x14ac:dyDescent="0.3">
      <c r="B204" s="92"/>
      <c r="C204" s="92"/>
      <c r="D204" s="439"/>
      <c r="E204" s="91"/>
      <c r="F204" s="376"/>
      <c r="G204" s="376"/>
      <c r="H204" s="376"/>
      <c r="I204" s="376"/>
      <c r="J204" s="92"/>
      <c r="K204" s="377" t="s">
        <v>297</v>
      </c>
      <c r="L204" s="378" t="s">
        <v>291</v>
      </c>
      <c r="M204" s="385" t="s">
        <v>441</v>
      </c>
      <c r="N204" s="92"/>
      <c r="O204" s="92"/>
      <c r="P204" s="387"/>
      <c r="Q204" s="92"/>
      <c r="R204" s="101"/>
      <c r="S204" s="92"/>
      <c r="T204" s="101"/>
      <c r="U204" s="92"/>
      <c r="V204" s="101"/>
      <c r="W204" s="92"/>
      <c r="X204" s="101"/>
      <c r="Y204" s="92"/>
      <c r="Z204" s="101"/>
      <c r="AA204" s="388"/>
      <c r="AB204" s="381"/>
      <c r="AC204" s="93"/>
      <c r="AD204" s="94"/>
      <c r="AE204" s="95"/>
      <c r="AF204" s="92"/>
    </row>
    <row r="205" spans="2:32" s="32" customFormat="1" x14ac:dyDescent="0.3">
      <c r="B205" s="36"/>
      <c r="C205" s="36"/>
      <c r="D205" s="434"/>
      <c r="E205" s="33"/>
      <c r="F205" s="34"/>
      <c r="G205" s="34"/>
      <c r="H205" s="34"/>
      <c r="I205" s="34"/>
      <c r="J205" s="36"/>
      <c r="K205" s="46"/>
      <c r="L205" s="46"/>
      <c r="M205" s="362"/>
      <c r="N205" s="36"/>
      <c r="O205" s="36"/>
      <c r="P205" s="54"/>
      <c r="Q205" s="36"/>
      <c r="R205" s="37"/>
      <c r="S205" s="36"/>
      <c r="T205" s="37"/>
      <c r="U205" s="36"/>
      <c r="V205" s="37"/>
      <c r="W205" s="36"/>
      <c r="X205" s="37"/>
      <c r="Y205" s="36"/>
      <c r="Z205" s="37"/>
      <c r="AA205" s="57"/>
      <c r="AB205" s="53"/>
      <c r="AC205" s="50"/>
      <c r="AD205" s="51"/>
      <c r="AE205" s="52"/>
      <c r="AF205" s="36"/>
    </row>
    <row r="206" spans="2:32" s="32" customFormat="1" ht="28.5" x14ac:dyDescent="0.25">
      <c r="B206" s="36"/>
      <c r="C206" s="36"/>
      <c r="D206" s="434"/>
      <c r="E206" s="33">
        <v>1</v>
      </c>
      <c r="F206" s="34">
        <v>1</v>
      </c>
      <c r="G206" s="34">
        <v>1</v>
      </c>
      <c r="H206" s="34">
        <v>5</v>
      </c>
      <c r="I206" s="34">
        <v>2</v>
      </c>
      <c r="J206" s="36" t="s">
        <v>116</v>
      </c>
      <c r="K206" s="374" t="s">
        <v>290</v>
      </c>
      <c r="L206" s="375" t="s">
        <v>291</v>
      </c>
      <c r="M206" s="375" t="s">
        <v>292</v>
      </c>
      <c r="N206" s="36" t="s">
        <v>301</v>
      </c>
      <c r="O206" s="36" t="s">
        <v>301</v>
      </c>
      <c r="P206" s="53">
        <v>7700000</v>
      </c>
      <c r="Q206" s="36" t="s">
        <v>301</v>
      </c>
      <c r="R206" s="431">
        <f>P206+(P206*10%)</f>
        <v>8470000</v>
      </c>
      <c r="S206" s="36" t="s">
        <v>301</v>
      </c>
      <c r="T206" s="431">
        <f>R206+(R206*10%)</f>
        <v>9317000</v>
      </c>
      <c r="U206" s="36" t="s">
        <v>301</v>
      </c>
      <c r="V206" s="431">
        <f>T206+(T206*10%)</f>
        <v>10248700</v>
      </c>
      <c r="W206" s="36" t="s">
        <v>301</v>
      </c>
      <c r="X206" s="431">
        <f>V206+(V206*10%)</f>
        <v>11273570</v>
      </c>
      <c r="Y206" s="36" t="s">
        <v>301</v>
      </c>
      <c r="Z206" s="431">
        <f>X206+V206+T206+R206+P206</f>
        <v>47009270</v>
      </c>
      <c r="AA206" s="52" t="s">
        <v>66</v>
      </c>
      <c r="AB206" s="53">
        <v>116750</v>
      </c>
      <c r="AC206" s="50">
        <f>AB206+(AB206*5%)</f>
        <v>122587.5</v>
      </c>
      <c r="AD206" s="51" t="s">
        <v>84</v>
      </c>
      <c r="AE206" s="52" t="s">
        <v>81</v>
      </c>
      <c r="AF206" s="36" t="s">
        <v>115</v>
      </c>
    </row>
    <row r="207" spans="2:32" s="32" customFormat="1" ht="28.5" x14ac:dyDescent="0.3">
      <c r="B207" s="36"/>
      <c r="C207" s="36"/>
      <c r="D207" s="434"/>
      <c r="E207" s="33"/>
      <c r="F207" s="34"/>
      <c r="G207" s="34"/>
      <c r="H207" s="34"/>
      <c r="I207" s="34"/>
      <c r="J207" s="36"/>
      <c r="K207" s="374" t="s">
        <v>293</v>
      </c>
      <c r="L207" s="375" t="s">
        <v>291</v>
      </c>
      <c r="M207" s="362" t="s">
        <v>1217</v>
      </c>
      <c r="N207" s="36" t="s">
        <v>411</v>
      </c>
      <c r="O207" s="36" t="s">
        <v>411</v>
      </c>
      <c r="P207" s="54"/>
      <c r="Q207" s="36" t="s">
        <v>411</v>
      </c>
      <c r="R207" s="37"/>
      <c r="S207" s="36" t="s">
        <v>411</v>
      </c>
      <c r="T207" s="37"/>
      <c r="U207" s="36" t="s">
        <v>411</v>
      </c>
      <c r="V207" s="37"/>
      <c r="W207" s="36" t="s">
        <v>411</v>
      </c>
      <c r="X207" s="37"/>
      <c r="Y207" s="36" t="s">
        <v>411</v>
      </c>
      <c r="Z207" s="37"/>
      <c r="AA207" s="57"/>
      <c r="AB207" s="54"/>
      <c r="AC207" s="55"/>
      <c r="AD207" s="56"/>
      <c r="AE207" s="57"/>
      <c r="AF207" s="36"/>
    </row>
    <row r="208" spans="2:32" s="32" customFormat="1" ht="28.5" x14ac:dyDescent="0.3">
      <c r="B208" s="36"/>
      <c r="C208" s="36"/>
      <c r="D208" s="434"/>
      <c r="E208" s="33"/>
      <c r="F208" s="34"/>
      <c r="G208" s="34"/>
      <c r="H208" s="34"/>
      <c r="I208" s="34"/>
      <c r="J208" s="36"/>
      <c r="K208" s="374" t="s">
        <v>294</v>
      </c>
      <c r="L208" s="375" t="s">
        <v>291</v>
      </c>
      <c r="M208" s="362" t="s">
        <v>1399</v>
      </c>
      <c r="N208" s="36" t="s">
        <v>411</v>
      </c>
      <c r="O208" s="36" t="s">
        <v>411</v>
      </c>
      <c r="P208" s="54"/>
      <c r="Q208" s="36" t="s">
        <v>411</v>
      </c>
      <c r="R208" s="37"/>
      <c r="S208" s="36" t="s">
        <v>411</v>
      </c>
      <c r="T208" s="37"/>
      <c r="U208" s="36" t="s">
        <v>411</v>
      </c>
      <c r="V208" s="37"/>
      <c r="W208" s="36" t="s">
        <v>411</v>
      </c>
      <c r="X208" s="37"/>
      <c r="Y208" s="36" t="s">
        <v>411</v>
      </c>
      <c r="Z208" s="37"/>
      <c r="AA208" s="57"/>
      <c r="AB208" s="54"/>
      <c r="AC208" s="55"/>
      <c r="AD208" s="56"/>
      <c r="AE208" s="57"/>
      <c r="AF208" s="36"/>
    </row>
    <row r="209" spans="2:32" s="32" customFormat="1" x14ac:dyDescent="0.3">
      <c r="B209" s="36"/>
      <c r="C209" s="36"/>
      <c r="D209" s="434"/>
      <c r="E209" s="33"/>
      <c r="F209" s="34"/>
      <c r="G209" s="34"/>
      <c r="H209" s="34"/>
      <c r="I209" s="34"/>
      <c r="J209" s="36"/>
      <c r="K209" s="374" t="s">
        <v>295</v>
      </c>
      <c r="L209" s="375" t="s">
        <v>291</v>
      </c>
      <c r="M209" s="384" t="s">
        <v>1400</v>
      </c>
      <c r="N209" s="36"/>
      <c r="O209" s="36"/>
      <c r="P209" s="54"/>
      <c r="Q209" s="36"/>
      <c r="R209" s="37"/>
      <c r="S209" s="36"/>
      <c r="T209" s="37"/>
      <c r="U209" s="36"/>
      <c r="V209" s="37"/>
      <c r="W209" s="36"/>
      <c r="X209" s="37"/>
      <c r="Y209" s="36"/>
      <c r="Z209" s="37"/>
      <c r="AA209" s="57"/>
      <c r="AB209" s="54"/>
      <c r="AC209" s="55"/>
      <c r="AD209" s="56"/>
      <c r="AE209" s="57"/>
      <c r="AF209" s="36"/>
    </row>
    <row r="210" spans="2:32" s="32" customFormat="1" x14ac:dyDescent="0.3">
      <c r="B210" s="92"/>
      <c r="C210" s="92"/>
      <c r="D210" s="439"/>
      <c r="E210" s="91"/>
      <c r="F210" s="376"/>
      <c r="G210" s="376"/>
      <c r="H210" s="376"/>
      <c r="I210" s="376"/>
      <c r="J210" s="92"/>
      <c r="K210" s="377" t="s">
        <v>297</v>
      </c>
      <c r="L210" s="378" t="s">
        <v>291</v>
      </c>
      <c r="M210" s="385" t="s">
        <v>441</v>
      </c>
      <c r="N210" s="92"/>
      <c r="O210" s="92"/>
      <c r="P210" s="387"/>
      <c r="Q210" s="92"/>
      <c r="R210" s="101"/>
      <c r="S210" s="92"/>
      <c r="T210" s="101"/>
      <c r="U210" s="92"/>
      <c r="V210" s="101"/>
      <c r="W210" s="92"/>
      <c r="X210" s="101"/>
      <c r="Y210" s="92"/>
      <c r="Z210" s="101"/>
      <c r="AA210" s="388"/>
      <c r="AB210" s="387"/>
      <c r="AC210" s="389"/>
      <c r="AD210" s="390"/>
      <c r="AE210" s="388"/>
      <c r="AF210" s="92"/>
    </row>
    <row r="211" spans="2:32" s="32" customFormat="1" x14ac:dyDescent="0.3">
      <c r="B211" s="36"/>
      <c r="C211" s="36"/>
      <c r="D211" s="434"/>
      <c r="E211" s="33"/>
      <c r="F211" s="34"/>
      <c r="G211" s="34"/>
      <c r="H211" s="34"/>
      <c r="I211" s="34"/>
      <c r="J211" s="36"/>
      <c r="K211" s="46"/>
      <c r="L211" s="46"/>
      <c r="M211" s="362"/>
      <c r="N211" s="36"/>
      <c r="O211" s="36"/>
      <c r="P211" s="54"/>
      <c r="Q211" s="36"/>
      <c r="R211" s="37"/>
      <c r="S211" s="36"/>
      <c r="T211" s="37"/>
      <c r="U211" s="36"/>
      <c r="V211" s="37"/>
      <c r="W211" s="36"/>
      <c r="X211" s="37"/>
      <c r="Y211" s="36"/>
      <c r="Z211" s="37"/>
      <c r="AA211" s="57"/>
      <c r="AB211" s="54"/>
      <c r="AC211" s="55"/>
      <c r="AD211" s="56"/>
      <c r="AE211" s="57"/>
      <c r="AF211" s="36"/>
    </row>
    <row r="212" spans="2:32" s="32" customFormat="1" ht="28.5" x14ac:dyDescent="0.25">
      <c r="B212" s="36"/>
      <c r="C212" s="36"/>
      <c r="D212" s="434"/>
      <c r="E212" s="33">
        <v>1</v>
      </c>
      <c r="F212" s="34">
        <v>1</v>
      </c>
      <c r="G212" s="34">
        <v>1</v>
      </c>
      <c r="H212" s="34">
        <v>5</v>
      </c>
      <c r="I212" s="34">
        <v>3</v>
      </c>
      <c r="J212" s="36" t="s">
        <v>117</v>
      </c>
      <c r="K212" s="374" t="s">
        <v>290</v>
      </c>
      <c r="L212" s="375" t="s">
        <v>291</v>
      </c>
      <c r="M212" s="375" t="s">
        <v>292</v>
      </c>
      <c r="N212" s="36" t="s">
        <v>301</v>
      </c>
      <c r="O212" s="36" t="s">
        <v>301</v>
      </c>
      <c r="P212" s="53">
        <v>9950000</v>
      </c>
      <c r="Q212" s="36" t="s">
        <v>301</v>
      </c>
      <c r="R212" s="431">
        <f>P212+(P212*10%)</f>
        <v>10945000</v>
      </c>
      <c r="S212" s="36" t="s">
        <v>301</v>
      </c>
      <c r="T212" s="431">
        <f>R212+(R212*10%)</f>
        <v>12039500</v>
      </c>
      <c r="U212" s="36" t="s">
        <v>301</v>
      </c>
      <c r="V212" s="431">
        <f>T212+(T212*10%)</f>
        <v>13243450</v>
      </c>
      <c r="W212" s="36" t="s">
        <v>301</v>
      </c>
      <c r="X212" s="431">
        <f>V212+(V212*10%)</f>
        <v>14567795</v>
      </c>
      <c r="Y212" s="36" t="s">
        <v>301</v>
      </c>
      <c r="Z212" s="431">
        <f>X212+V212+T212+R212+P212</f>
        <v>60745745</v>
      </c>
      <c r="AA212" s="52" t="str">
        <f>AA206</f>
        <v>Dinas Dikpora</v>
      </c>
      <c r="AB212" s="53">
        <v>7000</v>
      </c>
      <c r="AC212" s="50">
        <f>AB212+(AB212*5%)</f>
        <v>7350</v>
      </c>
      <c r="AD212" s="51" t="s">
        <v>66</v>
      </c>
      <c r="AE212" s="52" t="s">
        <v>81</v>
      </c>
      <c r="AF212" s="36" t="s">
        <v>115</v>
      </c>
    </row>
    <row r="213" spans="2:32" s="32" customFormat="1" ht="28.5" x14ac:dyDescent="0.3">
      <c r="B213" s="36"/>
      <c r="C213" s="36"/>
      <c r="D213" s="434"/>
      <c r="E213" s="33"/>
      <c r="F213" s="34"/>
      <c r="G213" s="34"/>
      <c r="H213" s="34"/>
      <c r="I213" s="34"/>
      <c r="J213" s="36"/>
      <c r="K213" s="374" t="s">
        <v>293</v>
      </c>
      <c r="L213" s="375" t="s">
        <v>291</v>
      </c>
      <c r="M213" s="362" t="s">
        <v>1218</v>
      </c>
      <c r="N213" s="36" t="s">
        <v>413</v>
      </c>
      <c r="O213" s="36" t="s">
        <v>413</v>
      </c>
      <c r="P213" s="53"/>
      <c r="Q213" s="36" t="s">
        <v>413</v>
      </c>
      <c r="R213" s="37"/>
      <c r="S213" s="36" t="s">
        <v>413</v>
      </c>
      <c r="T213" s="37"/>
      <c r="U213" s="36" t="s">
        <v>413</v>
      </c>
      <c r="V213" s="37"/>
      <c r="W213" s="36" t="s">
        <v>413</v>
      </c>
      <c r="X213" s="37"/>
      <c r="Y213" s="36" t="s">
        <v>413</v>
      </c>
      <c r="Z213" s="37"/>
      <c r="AA213" s="52"/>
      <c r="AB213" s="54"/>
      <c r="AC213" s="55"/>
      <c r="AD213" s="56"/>
      <c r="AE213" s="57"/>
      <c r="AF213" s="36"/>
    </row>
    <row r="214" spans="2:32" s="32" customFormat="1" ht="28.5" x14ac:dyDescent="0.3">
      <c r="B214" s="36"/>
      <c r="C214" s="36"/>
      <c r="D214" s="434"/>
      <c r="E214" s="33"/>
      <c r="F214" s="34"/>
      <c r="G214" s="34"/>
      <c r="H214" s="34"/>
      <c r="I214" s="34"/>
      <c r="J214" s="36"/>
      <c r="K214" s="374" t="s">
        <v>294</v>
      </c>
      <c r="L214" s="375" t="s">
        <v>291</v>
      </c>
      <c r="M214" s="362" t="s">
        <v>417</v>
      </c>
      <c r="N214" s="36" t="s">
        <v>413</v>
      </c>
      <c r="O214" s="36" t="s">
        <v>413</v>
      </c>
      <c r="P214" s="53"/>
      <c r="Q214" s="36" t="s">
        <v>413</v>
      </c>
      <c r="R214" s="37"/>
      <c r="S214" s="36" t="s">
        <v>413</v>
      </c>
      <c r="T214" s="37"/>
      <c r="U214" s="36" t="s">
        <v>413</v>
      </c>
      <c r="V214" s="37"/>
      <c r="W214" s="36" t="s">
        <v>413</v>
      </c>
      <c r="X214" s="37"/>
      <c r="Y214" s="36" t="s">
        <v>413</v>
      </c>
      <c r="Z214" s="37"/>
      <c r="AA214" s="52"/>
      <c r="AB214" s="54"/>
      <c r="AC214" s="55"/>
      <c r="AD214" s="56"/>
      <c r="AE214" s="57"/>
      <c r="AF214" s="36"/>
    </row>
    <row r="215" spans="2:32" s="32" customFormat="1" x14ac:dyDescent="0.3">
      <c r="B215" s="36"/>
      <c r="C215" s="36"/>
      <c r="D215" s="434"/>
      <c r="E215" s="33"/>
      <c r="F215" s="34"/>
      <c r="G215" s="34"/>
      <c r="H215" s="34"/>
      <c r="I215" s="34"/>
      <c r="J215" s="36"/>
      <c r="K215" s="374" t="s">
        <v>295</v>
      </c>
      <c r="L215" s="375" t="s">
        <v>291</v>
      </c>
      <c r="M215" s="384" t="s">
        <v>1401</v>
      </c>
      <c r="N215" s="36"/>
      <c r="O215" s="36"/>
      <c r="P215" s="53"/>
      <c r="Q215" s="36"/>
      <c r="R215" s="37"/>
      <c r="S215" s="36"/>
      <c r="T215" s="37"/>
      <c r="U215" s="36"/>
      <c r="V215" s="37"/>
      <c r="W215" s="36"/>
      <c r="X215" s="37"/>
      <c r="Y215" s="36"/>
      <c r="Z215" s="37"/>
      <c r="AA215" s="52"/>
      <c r="AB215" s="54"/>
      <c r="AC215" s="55"/>
      <c r="AD215" s="56"/>
      <c r="AE215" s="57"/>
      <c r="AF215" s="36"/>
    </row>
    <row r="216" spans="2:32" s="32" customFormat="1" x14ac:dyDescent="0.3">
      <c r="B216" s="92"/>
      <c r="C216" s="92"/>
      <c r="D216" s="439"/>
      <c r="E216" s="91"/>
      <c r="F216" s="376"/>
      <c r="G216" s="376"/>
      <c r="H216" s="376"/>
      <c r="I216" s="376"/>
      <c r="J216" s="92"/>
      <c r="K216" s="377" t="s">
        <v>297</v>
      </c>
      <c r="L216" s="378" t="s">
        <v>291</v>
      </c>
      <c r="M216" s="385" t="s">
        <v>441</v>
      </c>
      <c r="N216" s="92"/>
      <c r="O216" s="92"/>
      <c r="P216" s="381"/>
      <c r="Q216" s="92"/>
      <c r="R216" s="101"/>
      <c r="S216" s="92"/>
      <c r="T216" s="101"/>
      <c r="U216" s="92"/>
      <c r="V216" s="101"/>
      <c r="W216" s="92"/>
      <c r="X216" s="101"/>
      <c r="Y216" s="92"/>
      <c r="Z216" s="101"/>
      <c r="AA216" s="95"/>
      <c r="AB216" s="387"/>
      <c r="AC216" s="389"/>
      <c r="AD216" s="390"/>
      <c r="AE216" s="388"/>
      <c r="AF216" s="92"/>
    </row>
    <row r="217" spans="2:32" s="32" customFormat="1" x14ac:dyDescent="0.3">
      <c r="B217" s="36"/>
      <c r="C217" s="36"/>
      <c r="D217" s="434"/>
      <c r="E217" s="33"/>
      <c r="F217" s="34"/>
      <c r="G217" s="34"/>
      <c r="H217" s="34"/>
      <c r="I217" s="34"/>
      <c r="J217" s="36"/>
      <c r="K217" s="46"/>
      <c r="L217" s="46"/>
      <c r="M217" s="362"/>
      <c r="N217" s="36"/>
      <c r="O217" s="36"/>
      <c r="P217" s="53"/>
      <c r="Q217" s="36"/>
      <c r="R217" s="37"/>
      <c r="S217" s="36"/>
      <c r="T217" s="37"/>
      <c r="U217" s="36"/>
      <c r="V217" s="37"/>
      <c r="W217" s="36"/>
      <c r="X217" s="37"/>
      <c r="Y217" s="36"/>
      <c r="Z217" s="37"/>
      <c r="AA217" s="52"/>
      <c r="AB217" s="54"/>
      <c r="AC217" s="55"/>
      <c r="AD217" s="56"/>
      <c r="AE217" s="57"/>
      <c r="AF217" s="36"/>
    </row>
    <row r="218" spans="2:32" s="32" customFormat="1" ht="28.5" x14ac:dyDescent="0.25">
      <c r="B218" s="36"/>
      <c r="C218" s="36"/>
      <c r="D218" s="434"/>
      <c r="E218" s="33">
        <v>1</v>
      </c>
      <c r="F218" s="34">
        <v>1</v>
      </c>
      <c r="G218" s="34">
        <v>1</v>
      </c>
      <c r="H218" s="34">
        <v>5</v>
      </c>
      <c r="I218" s="34">
        <v>4</v>
      </c>
      <c r="J218" s="36" t="s">
        <v>118</v>
      </c>
      <c r="K218" s="374" t="s">
        <v>290</v>
      </c>
      <c r="L218" s="375" t="s">
        <v>291</v>
      </c>
      <c r="M218" s="375" t="s">
        <v>292</v>
      </c>
      <c r="N218" s="36" t="s">
        <v>301</v>
      </c>
      <c r="O218" s="36" t="s">
        <v>301</v>
      </c>
      <c r="P218" s="53">
        <v>811868000</v>
      </c>
      <c r="Q218" s="36" t="s">
        <v>301</v>
      </c>
      <c r="R218" s="431">
        <f>P218+(P218*10%)</f>
        <v>893054800</v>
      </c>
      <c r="S218" s="36" t="s">
        <v>301</v>
      </c>
      <c r="T218" s="431">
        <f>R218+(R218*10%)</f>
        <v>982360280</v>
      </c>
      <c r="U218" s="36" t="s">
        <v>301</v>
      </c>
      <c r="V218" s="431">
        <f>T218+(T218*10%)</f>
        <v>1080596308</v>
      </c>
      <c r="W218" s="36" t="s">
        <v>301</v>
      </c>
      <c r="X218" s="431">
        <f>V218+(V218*10%)</f>
        <v>1188655938.8</v>
      </c>
      <c r="Y218" s="36" t="s">
        <v>301</v>
      </c>
      <c r="Z218" s="431">
        <f>X218+V218+T218+R218+P218</f>
        <v>4956535326.8000002</v>
      </c>
      <c r="AA218" s="52" t="str">
        <f>AA212</f>
        <v>Dinas Dikpora</v>
      </c>
      <c r="AB218" s="53">
        <v>10000</v>
      </c>
      <c r="AC218" s="50">
        <f>AB218+(AB218*5%)</f>
        <v>10500</v>
      </c>
      <c r="AD218" s="51" t="str">
        <f>AD212</f>
        <v>Dinas Dikpora</v>
      </c>
      <c r="AE218" s="52" t="str">
        <f>AE212</f>
        <v>Sedang berjalan</v>
      </c>
      <c r="AF218" s="36" t="s">
        <v>75</v>
      </c>
    </row>
    <row r="219" spans="2:32" s="32" customFormat="1" x14ac:dyDescent="0.3">
      <c r="B219" s="36"/>
      <c r="C219" s="36"/>
      <c r="D219" s="434"/>
      <c r="E219" s="33"/>
      <c r="F219" s="34"/>
      <c r="G219" s="34"/>
      <c r="H219" s="34"/>
      <c r="I219" s="34"/>
      <c r="J219" s="36"/>
      <c r="K219" s="374" t="s">
        <v>293</v>
      </c>
      <c r="L219" s="375" t="s">
        <v>291</v>
      </c>
      <c r="M219" s="362" t="s">
        <v>1219</v>
      </c>
      <c r="N219" s="36" t="s">
        <v>415</v>
      </c>
      <c r="O219" s="36" t="s">
        <v>415</v>
      </c>
      <c r="P219" s="54"/>
      <c r="Q219" s="36" t="s">
        <v>415</v>
      </c>
      <c r="R219" s="37"/>
      <c r="S219" s="36" t="s">
        <v>415</v>
      </c>
      <c r="T219" s="37"/>
      <c r="U219" s="36" t="s">
        <v>415</v>
      </c>
      <c r="V219" s="37"/>
      <c r="W219" s="36" t="s">
        <v>415</v>
      </c>
      <c r="X219" s="37"/>
      <c r="Y219" s="36" t="s">
        <v>415</v>
      </c>
      <c r="Z219" s="37"/>
      <c r="AA219" s="57"/>
      <c r="AB219" s="53"/>
      <c r="AC219" s="50"/>
      <c r="AD219" s="51"/>
      <c r="AE219" s="52"/>
      <c r="AF219" s="36"/>
    </row>
    <row r="220" spans="2:32" s="32" customFormat="1" ht="28.5" x14ac:dyDescent="0.3">
      <c r="B220" s="36"/>
      <c r="C220" s="36"/>
      <c r="D220" s="434"/>
      <c r="E220" s="33"/>
      <c r="F220" s="34"/>
      <c r="G220" s="34"/>
      <c r="H220" s="34"/>
      <c r="I220" s="34"/>
      <c r="J220" s="36"/>
      <c r="K220" s="374" t="s">
        <v>294</v>
      </c>
      <c r="L220" s="375" t="s">
        <v>291</v>
      </c>
      <c r="M220" s="362" t="s">
        <v>418</v>
      </c>
      <c r="N220" s="36" t="s">
        <v>419</v>
      </c>
      <c r="O220" s="36" t="s">
        <v>419</v>
      </c>
      <c r="P220" s="54"/>
      <c r="Q220" s="36" t="s">
        <v>419</v>
      </c>
      <c r="R220" s="37"/>
      <c r="S220" s="36" t="s">
        <v>419</v>
      </c>
      <c r="T220" s="37"/>
      <c r="U220" s="36" t="s">
        <v>419</v>
      </c>
      <c r="V220" s="37"/>
      <c r="W220" s="36" t="s">
        <v>419</v>
      </c>
      <c r="X220" s="37"/>
      <c r="Y220" s="36" t="s">
        <v>419</v>
      </c>
      <c r="Z220" s="37"/>
      <c r="AA220" s="57"/>
      <c r="AB220" s="53"/>
      <c r="AC220" s="50"/>
      <c r="AD220" s="51"/>
      <c r="AE220" s="52"/>
      <c r="AF220" s="36"/>
    </row>
    <row r="221" spans="2:32" s="32" customFormat="1" x14ac:dyDescent="0.3">
      <c r="B221" s="36"/>
      <c r="C221" s="36"/>
      <c r="D221" s="434"/>
      <c r="E221" s="33"/>
      <c r="F221" s="34"/>
      <c r="G221" s="34"/>
      <c r="H221" s="34"/>
      <c r="I221" s="34"/>
      <c r="J221" s="36"/>
      <c r="K221" s="374" t="s">
        <v>295</v>
      </c>
      <c r="L221" s="375" t="s">
        <v>291</v>
      </c>
      <c r="M221" s="384" t="s">
        <v>1402</v>
      </c>
      <c r="N221" s="36"/>
      <c r="O221" s="36"/>
      <c r="P221" s="54"/>
      <c r="Q221" s="36"/>
      <c r="R221" s="37"/>
      <c r="S221" s="36"/>
      <c r="T221" s="37"/>
      <c r="U221" s="36"/>
      <c r="V221" s="37"/>
      <c r="W221" s="36"/>
      <c r="X221" s="37"/>
      <c r="Y221" s="36"/>
      <c r="Z221" s="37"/>
      <c r="AA221" s="57"/>
      <c r="AB221" s="53"/>
      <c r="AC221" s="50"/>
      <c r="AD221" s="51"/>
      <c r="AE221" s="52"/>
      <c r="AF221" s="36"/>
    </row>
    <row r="222" spans="2:32" s="32" customFormat="1" x14ac:dyDescent="0.3">
      <c r="B222" s="92"/>
      <c r="C222" s="92"/>
      <c r="D222" s="439"/>
      <c r="E222" s="91"/>
      <c r="F222" s="376"/>
      <c r="G222" s="376"/>
      <c r="H222" s="376"/>
      <c r="I222" s="376"/>
      <c r="J222" s="92"/>
      <c r="K222" s="377" t="s">
        <v>297</v>
      </c>
      <c r="L222" s="378" t="s">
        <v>291</v>
      </c>
      <c r="M222" s="385" t="s">
        <v>441</v>
      </c>
      <c r="N222" s="92"/>
      <c r="O222" s="92"/>
      <c r="P222" s="387"/>
      <c r="Q222" s="92"/>
      <c r="R222" s="101"/>
      <c r="S222" s="92"/>
      <c r="T222" s="101"/>
      <c r="U222" s="92"/>
      <c r="V222" s="101"/>
      <c r="W222" s="92"/>
      <c r="X222" s="101"/>
      <c r="Y222" s="92"/>
      <c r="Z222" s="101"/>
      <c r="AA222" s="388"/>
      <c r="AB222" s="381"/>
      <c r="AC222" s="93"/>
      <c r="AD222" s="94"/>
      <c r="AE222" s="95"/>
      <c r="AF222" s="92"/>
    </row>
    <row r="223" spans="2:32" s="32" customFormat="1" x14ac:dyDescent="0.3">
      <c r="B223" s="36"/>
      <c r="C223" s="36"/>
      <c r="D223" s="434"/>
      <c r="E223" s="33"/>
      <c r="F223" s="34"/>
      <c r="G223" s="34"/>
      <c r="H223" s="34"/>
      <c r="I223" s="34"/>
      <c r="J223" s="36"/>
      <c r="K223" s="46"/>
      <c r="L223" s="46"/>
      <c r="M223" s="362"/>
      <c r="N223" s="36"/>
      <c r="O223" s="36"/>
      <c r="P223" s="54"/>
      <c r="Q223" s="36"/>
      <c r="R223" s="37"/>
      <c r="S223" s="36"/>
      <c r="T223" s="37"/>
      <c r="U223" s="36"/>
      <c r="V223" s="37"/>
      <c r="W223" s="36"/>
      <c r="X223" s="37"/>
      <c r="Y223" s="36"/>
      <c r="Z223" s="37"/>
      <c r="AA223" s="57"/>
      <c r="AB223" s="53"/>
      <c r="AC223" s="50"/>
      <c r="AD223" s="51"/>
      <c r="AE223" s="52"/>
      <c r="AF223" s="36"/>
    </row>
    <row r="224" spans="2:32" s="32" customFormat="1" ht="40.5" x14ac:dyDescent="0.25">
      <c r="B224" s="504" t="s">
        <v>1555</v>
      </c>
      <c r="C224" s="504" t="s">
        <v>1559</v>
      </c>
      <c r="D224" s="27" t="s">
        <v>1065</v>
      </c>
      <c r="E224" s="26">
        <v>1</v>
      </c>
      <c r="F224" s="38">
        <v>1</v>
      </c>
      <c r="G224" s="38">
        <v>1</v>
      </c>
      <c r="H224" s="38">
        <v>6</v>
      </c>
      <c r="I224" s="38"/>
      <c r="J224" s="27" t="s">
        <v>119</v>
      </c>
      <c r="K224" s="496" t="s">
        <v>1220</v>
      </c>
      <c r="L224" s="497"/>
      <c r="M224" s="498"/>
      <c r="N224" s="398">
        <v>100</v>
      </c>
      <c r="O224" s="398">
        <v>100</v>
      </c>
      <c r="P224" s="61">
        <f>SUM(P226:P247)</f>
        <v>5137212000</v>
      </c>
      <c r="Q224" s="398">
        <v>100</v>
      </c>
      <c r="R224" s="61">
        <f>SUM(R226:R247)</f>
        <v>5650933200</v>
      </c>
      <c r="S224" s="398">
        <v>100</v>
      </c>
      <c r="T224" s="61">
        <f>SUM(T226:T247)</f>
        <v>6216026520</v>
      </c>
      <c r="U224" s="398">
        <v>100</v>
      </c>
      <c r="V224" s="61">
        <f>SUM(V226:V247)</f>
        <v>6837629172</v>
      </c>
      <c r="W224" s="398">
        <v>100</v>
      </c>
      <c r="X224" s="61">
        <f>SUM(X226:X247)</f>
        <v>7521392089.2000008</v>
      </c>
      <c r="Y224" s="398">
        <v>100</v>
      </c>
      <c r="Z224" s="430">
        <f>X224+V224+T224+R224+P224</f>
        <v>31363192981.200001</v>
      </c>
      <c r="AA224" s="31"/>
      <c r="AB224" s="61">
        <v>79000</v>
      </c>
      <c r="AC224" s="82">
        <f>AB224+(AB224*5%)</f>
        <v>82950</v>
      </c>
      <c r="AD224" s="83" t="str">
        <f>AD218</f>
        <v>Dinas Dikpora</v>
      </c>
      <c r="AE224" s="75" t="str">
        <f>AE218</f>
        <v>Sedang berjalan</v>
      </c>
      <c r="AF224" s="27" t="s">
        <v>120</v>
      </c>
    </row>
    <row r="225" spans="2:32" s="32" customFormat="1" x14ac:dyDescent="0.3">
      <c r="B225" s="504"/>
      <c r="C225" s="504"/>
      <c r="D225" s="434"/>
      <c r="E225" s="26"/>
      <c r="F225" s="38"/>
      <c r="G225" s="38"/>
      <c r="H225" s="38"/>
      <c r="I225" s="38"/>
      <c r="J225" s="27"/>
      <c r="K225" s="39"/>
      <c r="L225" s="39"/>
      <c r="M225" s="362"/>
      <c r="N225" s="370"/>
      <c r="O225" s="370"/>
      <c r="P225" s="54"/>
      <c r="Q225" s="370"/>
      <c r="R225" s="37"/>
      <c r="S225" s="370"/>
      <c r="T225" s="37"/>
      <c r="U225" s="370"/>
      <c r="V225" s="37"/>
      <c r="W225" s="370"/>
      <c r="X225" s="37"/>
      <c r="Y225" s="370"/>
      <c r="Z225" s="37"/>
      <c r="AA225" s="57"/>
      <c r="AB225" s="54"/>
      <c r="AC225" s="55"/>
      <c r="AD225" s="56"/>
      <c r="AE225" s="57"/>
      <c r="AF225" s="36"/>
    </row>
    <row r="226" spans="2:32" s="32" customFormat="1" ht="28.5" x14ac:dyDescent="0.25">
      <c r="B226" s="504"/>
      <c r="C226" s="504"/>
      <c r="D226" s="434"/>
      <c r="E226" s="33">
        <v>1</v>
      </c>
      <c r="F226" s="34">
        <v>1</v>
      </c>
      <c r="G226" s="34">
        <v>1</v>
      </c>
      <c r="H226" s="34">
        <v>6</v>
      </c>
      <c r="I226" s="34">
        <v>1</v>
      </c>
      <c r="J226" s="36" t="s">
        <v>121</v>
      </c>
      <c r="K226" s="374" t="s">
        <v>290</v>
      </c>
      <c r="L226" s="375" t="s">
        <v>291</v>
      </c>
      <c r="M226" s="375" t="s">
        <v>292</v>
      </c>
      <c r="N226" s="36" t="s">
        <v>301</v>
      </c>
      <c r="O226" s="36" t="s">
        <v>301</v>
      </c>
      <c r="P226" s="53">
        <v>2950038600</v>
      </c>
      <c r="Q226" s="36" t="s">
        <v>301</v>
      </c>
      <c r="R226" s="431">
        <f>P226+(P226*10%)</f>
        <v>3245042460</v>
      </c>
      <c r="S226" s="36" t="s">
        <v>301</v>
      </c>
      <c r="T226" s="431">
        <f>R226+(R226*10%)</f>
        <v>3569546706</v>
      </c>
      <c r="U226" s="36" t="s">
        <v>301</v>
      </c>
      <c r="V226" s="431">
        <f>T226+(T226*10%)</f>
        <v>3926501376.5999999</v>
      </c>
      <c r="W226" s="36" t="s">
        <v>301</v>
      </c>
      <c r="X226" s="431">
        <f>V226+(V226*10%)</f>
        <v>4319151514.2600002</v>
      </c>
      <c r="Y226" s="36" t="s">
        <v>301</v>
      </c>
      <c r="Z226" s="431">
        <f>X226+V226+T226+R226+P226</f>
        <v>18010280656.860001</v>
      </c>
      <c r="AA226" s="52" t="s">
        <v>66</v>
      </c>
      <c r="AB226" s="61">
        <f>SUM(AB228:AB255)</f>
        <v>1180000</v>
      </c>
      <c r="AC226" s="61">
        <f>SUM(AC228:AC255)</f>
        <v>1281500</v>
      </c>
      <c r="AD226" s="56"/>
      <c r="AE226" s="57"/>
      <c r="AF226" s="36" t="s">
        <v>120</v>
      </c>
    </row>
    <row r="227" spans="2:32" s="32" customFormat="1" ht="42.75" x14ac:dyDescent="0.3">
      <c r="B227" s="504"/>
      <c r="C227" s="504"/>
      <c r="D227" s="434"/>
      <c r="E227" s="33"/>
      <c r="F227" s="34"/>
      <c r="G227" s="34"/>
      <c r="H227" s="34"/>
      <c r="I227" s="34"/>
      <c r="J227" s="36"/>
      <c r="K227" s="374" t="s">
        <v>293</v>
      </c>
      <c r="L227" s="375" t="s">
        <v>291</v>
      </c>
      <c r="M227" s="362" t="s">
        <v>1221</v>
      </c>
      <c r="N227" s="36" t="s">
        <v>1108</v>
      </c>
      <c r="O227" s="36" t="s">
        <v>1108</v>
      </c>
      <c r="P227" s="53"/>
      <c r="Q227" s="36" t="s">
        <v>1108</v>
      </c>
      <c r="R227" s="37"/>
      <c r="S227" s="36" t="s">
        <v>1108</v>
      </c>
      <c r="T227" s="37"/>
      <c r="U227" s="36" t="s">
        <v>1108</v>
      </c>
      <c r="V227" s="37"/>
      <c r="W227" s="36" t="s">
        <v>1108</v>
      </c>
      <c r="X227" s="37"/>
      <c r="Y227" s="36" t="s">
        <v>1108</v>
      </c>
      <c r="Z227" s="37"/>
      <c r="AA227" s="52"/>
      <c r="AB227" s="54"/>
      <c r="AC227" s="55"/>
      <c r="AD227" s="56"/>
      <c r="AE227" s="57"/>
      <c r="AF227" s="36"/>
    </row>
    <row r="228" spans="2:32" s="32" customFormat="1" ht="28.5" x14ac:dyDescent="0.25">
      <c r="B228" s="504"/>
      <c r="C228" s="504"/>
      <c r="D228" s="434"/>
      <c r="E228" s="33"/>
      <c r="F228" s="34"/>
      <c r="G228" s="34"/>
      <c r="H228" s="34"/>
      <c r="I228" s="34"/>
      <c r="J228" s="36"/>
      <c r="K228" s="46"/>
      <c r="L228" s="375" t="s">
        <v>291</v>
      </c>
      <c r="M228" s="363" t="s">
        <v>1222</v>
      </c>
      <c r="N228" s="36" t="s">
        <v>464</v>
      </c>
      <c r="O228" s="36" t="s">
        <v>464</v>
      </c>
      <c r="P228" s="53"/>
      <c r="Q228" s="36" t="s">
        <v>464</v>
      </c>
      <c r="R228" s="37"/>
      <c r="S228" s="36" t="s">
        <v>464</v>
      </c>
      <c r="T228" s="37"/>
      <c r="U228" s="36" t="s">
        <v>464</v>
      </c>
      <c r="V228" s="37"/>
      <c r="W228" s="36" t="s">
        <v>464</v>
      </c>
      <c r="X228" s="37"/>
      <c r="Y228" s="36" t="s">
        <v>464</v>
      </c>
      <c r="Z228" s="37"/>
      <c r="AA228" s="52"/>
      <c r="AB228" s="53">
        <v>880000</v>
      </c>
      <c r="AC228" s="50">
        <f>AB228+(AB228*5%)</f>
        <v>924000</v>
      </c>
      <c r="AD228" s="51" t="s">
        <v>66</v>
      </c>
      <c r="AE228" s="52" t="s">
        <v>81</v>
      </c>
      <c r="AF228" s="36"/>
    </row>
    <row r="229" spans="2:32" s="32" customFormat="1" ht="99.75" x14ac:dyDescent="0.25">
      <c r="B229" s="36"/>
      <c r="C229" s="36"/>
      <c r="D229" s="434"/>
      <c r="E229" s="33"/>
      <c r="F229" s="34"/>
      <c r="G229" s="34"/>
      <c r="H229" s="34"/>
      <c r="I229" s="34"/>
      <c r="J229" s="36"/>
      <c r="K229" s="46"/>
      <c r="L229" s="375" t="s">
        <v>291</v>
      </c>
      <c r="M229" s="363" t="s">
        <v>1223</v>
      </c>
      <c r="N229" s="36" t="s">
        <v>1109</v>
      </c>
      <c r="O229" s="36" t="s">
        <v>1109</v>
      </c>
      <c r="P229" s="53"/>
      <c r="Q229" s="36" t="s">
        <v>1109</v>
      </c>
      <c r="R229" s="37"/>
      <c r="S229" s="36" t="s">
        <v>1109</v>
      </c>
      <c r="T229" s="37"/>
      <c r="U229" s="36" t="s">
        <v>1109</v>
      </c>
      <c r="V229" s="37"/>
      <c r="W229" s="36" t="s">
        <v>1109</v>
      </c>
      <c r="X229" s="37"/>
      <c r="Y229" s="36" t="s">
        <v>1109</v>
      </c>
      <c r="Z229" s="37"/>
      <c r="AA229" s="52"/>
      <c r="AB229" s="53"/>
      <c r="AC229" s="50"/>
      <c r="AD229" s="51"/>
      <c r="AE229" s="52"/>
      <c r="AF229" s="36"/>
    </row>
    <row r="230" spans="2:32" s="32" customFormat="1" ht="15" x14ac:dyDescent="0.25">
      <c r="B230" s="36"/>
      <c r="C230" s="36"/>
      <c r="D230" s="434"/>
      <c r="E230" s="33"/>
      <c r="F230" s="34"/>
      <c r="G230" s="34"/>
      <c r="H230" s="34"/>
      <c r="I230" s="34"/>
      <c r="J230" s="36"/>
      <c r="K230" s="46"/>
      <c r="L230" s="375" t="s">
        <v>291</v>
      </c>
      <c r="M230" s="363" t="s">
        <v>1224</v>
      </c>
      <c r="N230" s="36" t="s">
        <v>468</v>
      </c>
      <c r="O230" s="36" t="s">
        <v>468</v>
      </c>
      <c r="P230" s="53"/>
      <c r="Q230" s="36" t="s">
        <v>468</v>
      </c>
      <c r="R230" s="37"/>
      <c r="S230" s="36" t="s">
        <v>468</v>
      </c>
      <c r="T230" s="37"/>
      <c r="U230" s="36" t="s">
        <v>468</v>
      </c>
      <c r="V230" s="37"/>
      <c r="W230" s="36" t="s">
        <v>468</v>
      </c>
      <c r="X230" s="37"/>
      <c r="Y230" s="36" t="s">
        <v>468</v>
      </c>
      <c r="Z230" s="37"/>
      <c r="AA230" s="52"/>
      <c r="AB230" s="53"/>
      <c r="AC230" s="50"/>
      <c r="AD230" s="51"/>
      <c r="AE230" s="52"/>
      <c r="AF230" s="36"/>
    </row>
    <row r="231" spans="2:32" s="32" customFormat="1" ht="28.5" x14ac:dyDescent="0.25">
      <c r="B231" s="36"/>
      <c r="C231" s="36"/>
      <c r="D231" s="434"/>
      <c r="E231" s="33"/>
      <c r="F231" s="34"/>
      <c r="G231" s="34"/>
      <c r="H231" s="34"/>
      <c r="I231" s="34"/>
      <c r="J231" s="36"/>
      <c r="K231" s="374" t="s">
        <v>294</v>
      </c>
      <c r="L231" s="375" t="s">
        <v>291</v>
      </c>
      <c r="M231" s="363" t="s">
        <v>474</v>
      </c>
      <c r="N231" s="41">
        <v>1</v>
      </c>
      <c r="O231" s="41">
        <v>1</v>
      </c>
      <c r="P231" s="53"/>
      <c r="Q231" s="41">
        <v>1</v>
      </c>
      <c r="R231" s="37"/>
      <c r="S231" s="41">
        <v>1</v>
      </c>
      <c r="T231" s="37"/>
      <c r="U231" s="41">
        <v>1</v>
      </c>
      <c r="V231" s="37"/>
      <c r="W231" s="41">
        <v>1</v>
      </c>
      <c r="X231" s="37"/>
      <c r="Y231" s="41">
        <v>1</v>
      </c>
      <c r="Z231" s="37"/>
      <c r="AA231" s="52"/>
      <c r="AB231" s="53"/>
      <c r="AC231" s="50"/>
      <c r="AD231" s="51"/>
      <c r="AE231" s="52"/>
      <c r="AF231" s="36"/>
    </row>
    <row r="232" spans="2:32" s="32" customFormat="1" ht="28.5" x14ac:dyDescent="0.25">
      <c r="B232" s="36"/>
      <c r="C232" s="36"/>
      <c r="D232" s="434"/>
      <c r="E232" s="33"/>
      <c r="F232" s="34"/>
      <c r="G232" s="34"/>
      <c r="H232" s="34"/>
      <c r="I232" s="34"/>
      <c r="J232" s="36"/>
      <c r="K232" s="374" t="s">
        <v>295</v>
      </c>
      <c r="L232" s="375" t="s">
        <v>291</v>
      </c>
      <c r="M232" s="362" t="s">
        <v>1403</v>
      </c>
      <c r="N232" s="36"/>
      <c r="O232" s="36"/>
      <c r="P232" s="53"/>
      <c r="Q232" s="36"/>
      <c r="R232" s="37"/>
      <c r="S232" s="36"/>
      <c r="T232" s="37"/>
      <c r="U232" s="36"/>
      <c r="V232" s="37"/>
      <c r="W232" s="36"/>
      <c r="X232" s="37"/>
      <c r="Y232" s="36"/>
      <c r="Z232" s="37"/>
      <c r="AA232" s="52"/>
      <c r="AB232" s="53"/>
      <c r="AC232" s="50"/>
      <c r="AD232" s="51"/>
      <c r="AE232" s="52"/>
      <c r="AF232" s="36"/>
    </row>
    <row r="233" spans="2:32" s="32" customFormat="1" ht="28.5" x14ac:dyDescent="0.25">
      <c r="B233" s="92"/>
      <c r="C233" s="92"/>
      <c r="D233" s="439"/>
      <c r="E233" s="91"/>
      <c r="F233" s="376"/>
      <c r="G233" s="376"/>
      <c r="H233" s="376"/>
      <c r="I233" s="376"/>
      <c r="J233" s="92"/>
      <c r="K233" s="377" t="s">
        <v>297</v>
      </c>
      <c r="L233" s="378" t="s">
        <v>291</v>
      </c>
      <c r="M233" s="386" t="s">
        <v>1404</v>
      </c>
      <c r="N233" s="92"/>
      <c r="O233" s="92"/>
      <c r="P233" s="381"/>
      <c r="Q233" s="92"/>
      <c r="R233" s="101"/>
      <c r="S233" s="92"/>
      <c r="T233" s="101"/>
      <c r="U233" s="92"/>
      <c r="V233" s="101"/>
      <c r="W233" s="92"/>
      <c r="X233" s="101"/>
      <c r="Y233" s="92"/>
      <c r="Z233" s="101"/>
      <c r="AA233" s="95"/>
      <c r="AB233" s="381"/>
      <c r="AC233" s="93"/>
      <c r="AD233" s="94"/>
      <c r="AE233" s="95"/>
      <c r="AF233" s="92"/>
    </row>
    <row r="234" spans="2:32" s="32" customFormat="1" ht="15" x14ac:dyDescent="0.25">
      <c r="B234" s="36"/>
      <c r="C234" s="36"/>
      <c r="D234" s="434"/>
      <c r="E234" s="33"/>
      <c r="F234" s="34"/>
      <c r="G234" s="34"/>
      <c r="H234" s="34"/>
      <c r="I234" s="34"/>
      <c r="J234" s="36"/>
      <c r="K234" s="46"/>
      <c r="L234" s="46"/>
      <c r="M234" s="363"/>
      <c r="N234" s="36"/>
      <c r="O234" s="36"/>
      <c r="P234" s="53"/>
      <c r="Q234" s="36"/>
      <c r="R234" s="37"/>
      <c r="S234" s="36"/>
      <c r="T234" s="37"/>
      <c r="U234" s="36"/>
      <c r="V234" s="37"/>
      <c r="W234" s="36"/>
      <c r="X234" s="37"/>
      <c r="Y234" s="36"/>
      <c r="Z234" s="37"/>
      <c r="AA234" s="52"/>
      <c r="AB234" s="53"/>
      <c r="AC234" s="50"/>
      <c r="AD234" s="51"/>
      <c r="AE234" s="52"/>
      <c r="AF234" s="36"/>
    </row>
    <row r="235" spans="2:32" s="63" customFormat="1" ht="28.5" x14ac:dyDescent="0.25">
      <c r="B235" s="36"/>
      <c r="C235" s="36"/>
      <c r="D235" s="441"/>
      <c r="E235" s="33">
        <v>1</v>
      </c>
      <c r="F235" s="34">
        <v>1</v>
      </c>
      <c r="G235" s="34">
        <v>1</v>
      </c>
      <c r="H235" s="34">
        <v>6</v>
      </c>
      <c r="I235" s="34">
        <v>2</v>
      </c>
      <c r="J235" s="36" t="s">
        <v>122</v>
      </c>
      <c r="K235" s="374" t="s">
        <v>290</v>
      </c>
      <c r="L235" s="375" t="s">
        <v>291</v>
      </c>
      <c r="M235" s="375" t="s">
        <v>292</v>
      </c>
      <c r="N235" s="36" t="s">
        <v>301</v>
      </c>
      <c r="O235" s="36" t="s">
        <v>301</v>
      </c>
      <c r="P235" s="53">
        <v>31172000</v>
      </c>
      <c r="Q235" s="36" t="s">
        <v>301</v>
      </c>
      <c r="R235" s="431">
        <f>P235+(P235*10%)</f>
        <v>34289200</v>
      </c>
      <c r="S235" s="36" t="s">
        <v>301</v>
      </c>
      <c r="T235" s="431">
        <f>R235+(R235*10%)</f>
        <v>37718120</v>
      </c>
      <c r="U235" s="36" t="s">
        <v>301</v>
      </c>
      <c r="V235" s="431">
        <f>T235+(T235*10%)</f>
        <v>41489932</v>
      </c>
      <c r="W235" s="36" t="s">
        <v>301</v>
      </c>
      <c r="X235" s="431">
        <f>V235+(V235*10%)</f>
        <v>45638925.200000003</v>
      </c>
      <c r="Y235" s="36" t="s">
        <v>301</v>
      </c>
      <c r="Z235" s="431">
        <f>X235+V235+T235+R235+P235</f>
        <v>190308177.19999999</v>
      </c>
      <c r="AA235" s="52" t="s">
        <v>66</v>
      </c>
      <c r="AB235" s="53"/>
      <c r="AC235" s="50"/>
      <c r="AD235" s="51"/>
      <c r="AE235" s="52"/>
      <c r="AF235" s="36" t="s">
        <v>120</v>
      </c>
    </row>
    <row r="236" spans="2:32" s="63" customFormat="1" ht="15" x14ac:dyDescent="0.25">
      <c r="B236" s="36"/>
      <c r="C236" s="36"/>
      <c r="D236" s="441"/>
      <c r="E236" s="33"/>
      <c r="F236" s="34"/>
      <c r="G236" s="34"/>
      <c r="H236" s="34"/>
      <c r="I236" s="34"/>
      <c r="J236" s="36"/>
      <c r="K236" s="374" t="s">
        <v>293</v>
      </c>
      <c r="L236" s="375" t="s">
        <v>291</v>
      </c>
      <c r="M236" s="362" t="s">
        <v>1225</v>
      </c>
      <c r="N236" s="36" t="s">
        <v>411</v>
      </c>
      <c r="O236" s="36" t="s">
        <v>411</v>
      </c>
      <c r="P236" s="53"/>
      <c r="Q236" s="36" t="s">
        <v>411</v>
      </c>
      <c r="R236" s="37"/>
      <c r="S236" s="36" t="s">
        <v>411</v>
      </c>
      <c r="T236" s="37"/>
      <c r="U236" s="36" t="s">
        <v>411</v>
      </c>
      <c r="V236" s="37"/>
      <c r="W236" s="36" t="s">
        <v>411</v>
      </c>
      <c r="X236" s="37"/>
      <c r="Y236" s="36" t="s">
        <v>411</v>
      </c>
      <c r="Z236" s="37"/>
      <c r="AA236" s="52"/>
      <c r="AB236" s="53"/>
      <c r="AC236" s="50"/>
      <c r="AD236" s="51"/>
      <c r="AE236" s="52"/>
      <c r="AF236" s="36"/>
    </row>
    <row r="237" spans="2:32" s="63" customFormat="1" ht="28.5" x14ac:dyDescent="0.25">
      <c r="B237" s="36"/>
      <c r="C237" s="36"/>
      <c r="D237" s="441"/>
      <c r="E237" s="33"/>
      <c r="F237" s="34"/>
      <c r="G237" s="34"/>
      <c r="H237" s="34"/>
      <c r="I237" s="34"/>
      <c r="J237" s="36"/>
      <c r="K237" s="374" t="s">
        <v>294</v>
      </c>
      <c r="L237" s="375" t="s">
        <v>291</v>
      </c>
      <c r="M237" s="362" t="s">
        <v>486</v>
      </c>
      <c r="N237" s="41">
        <v>1</v>
      </c>
      <c r="O237" s="41">
        <v>1</v>
      </c>
      <c r="P237" s="53"/>
      <c r="Q237" s="41">
        <v>1</v>
      </c>
      <c r="R237" s="37"/>
      <c r="S237" s="41">
        <v>1</v>
      </c>
      <c r="T237" s="37"/>
      <c r="U237" s="41">
        <v>1</v>
      </c>
      <c r="V237" s="37"/>
      <c r="W237" s="41">
        <v>1</v>
      </c>
      <c r="X237" s="37"/>
      <c r="Y237" s="41">
        <v>1</v>
      </c>
      <c r="Z237" s="37"/>
      <c r="AA237" s="52"/>
      <c r="AB237" s="53"/>
      <c r="AC237" s="50"/>
      <c r="AD237" s="51"/>
      <c r="AE237" s="52"/>
      <c r="AF237" s="36"/>
    </row>
    <row r="238" spans="2:32" s="63" customFormat="1" ht="15" x14ac:dyDescent="0.25">
      <c r="B238" s="36"/>
      <c r="C238" s="36"/>
      <c r="D238" s="441"/>
      <c r="E238" s="33"/>
      <c r="F238" s="34"/>
      <c r="G238" s="34"/>
      <c r="H238" s="34"/>
      <c r="I238" s="34"/>
      <c r="J238" s="36"/>
      <c r="K238" s="374" t="s">
        <v>295</v>
      </c>
      <c r="L238" s="375" t="s">
        <v>291</v>
      </c>
      <c r="M238" s="362" t="s">
        <v>1405</v>
      </c>
      <c r="N238" s="36"/>
      <c r="O238" s="36"/>
      <c r="P238" s="53"/>
      <c r="Q238" s="36"/>
      <c r="R238" s="37"/>
      <c r="S238" s="36"/>
      <c r="T238" s="37"/>
      <c r="U238" s="36"/>
      <c r="V238" s="37"/>
      <c r="W238" s="36"/>
      <c r="X238" s="37"/>
      <c r="Y238" s="36"/>
      <c r="Z238" s="37"/>
      <c r="AA238" s="52"/>
      <c r="AB238" s="53"/>
      <c r="AC238" s="50"/>
      <c r="AD238" s="51"/>
      <c r="AE238" s="52"/>
      <c r="AF238" s="36"/>
    </row>
    <row r="239" spans="2:32" s="63" customFormat="1" ht="28.5" x14ac:dyDescent="0.25">
      <c r="B239" s="92"/>
      <c r="C239" s="92"/>
      <c r="D239" s="442"/>
      <c r="E239" s="91"/>
      <c r="F239" s="376"/>
      <c r="G239" s="376"/>
      <c r="H239" s="376"/>
      <c r="I239" s="376"/>
      <c r="J239" s="92"/>
      <c r="K239" s="377" t="s">
        <v>297</v>
      </c>
      <c r="L239" s="378" t="s">
        <v>291</v>
      </c>
      <c r="M239" s="386" t="s">
        <v>1406</v>
      </c>
      <c r="N239" s="92"/>
      <c r="O239" s="92"/>
      <c r="P239" s="381"/>
      <c r="Q239" s="92"/>
      <c r="R239" s="101"/>
      <c r="S239" s="92"/>
      <c r="T239" s="101"/>
      <c r="U239" s="92"/>
      <c r="V239" s="101"/>
      <c r="W239" s="92"/>
      <c r="X239" s="101"/>
      <c r="Y239" s="92"/>
      <c r="Z239" s="101"/>
      <c r="AA239" s="95"/>
      <c r="AB239" s="381"/>
      <c r="AC239" s="93"/>
      <c r="AD239" s="94"/>
      <c r="AE239" s="95"/>
      <c r="AF239" s="92"/>
    </row>
    <row r="240" spans="2:32" s="63" customFormat="1" ht="15" x14ac:dyDescent="0.25">
      <c r="B240" s="36"/>
      <c r="C240" s="36"/>
      <c r="D240" s="441"/>
      <c r="E240" s="33"/>
      <c r="F240" s="34"/>
      <c r="G240" s="34"/>
      <c r="H240" s="34"/>
      <c r="I240" s="34"/>
      <c r="J240" s="36"/>
      <c r="K240" s="46"/>
      <c r="L240" s="46"/>
      <c r="M240" s="362"/>
      <c r="N240" s="36"/>
      <c r="O240" s="36"/>
      <c r="P240" s="53"/>
      <c r="Q240" s="36"/>
      <c r="R240" s="37"/>
      <c r="S240" s="36"/>
      <c r="T240" s="37"/>
      <c r="U240" s="36"/>
      <c r="V240" s="37"/>
      <c r="W240" s="36"/>
      <c r="X240" s="37"/>
      <c r="Y240" s="36"/>
      <c r="Z240" s="37"/>
      <c r="AA240" s="52"/>
      <c r="AB240" s="53"/>
      <c r="AC240" s="50"/>
      <c r="AD240" s="51"/>
      <c r="AE240" s="52"/>
      <c r="AF240" s="36"/>
    </row>
    <row r="241" spans="2:32" s="32" customFormat="1" ht="28.5" x14ac:dyDescent="0.25">
      <c r="B241" s="36"/>
      <c r="C241" s="36"/>
      <c r="D241" s="434"/>
      <c r="E241" s="33">
        <v>1</v>
      </c>
      <c r="F241" s="34">
        <v>1</v>
      </c>
      <c r="G241" s="34">
        <v>1</v>
      </c>
      <c r="H241" s="34">
        <v>6</v>
      </c>
      <c r="I241" s="34">
        <v>4</v>
      </c>
      <c r="J241" s="36" t="s">
        <v>123</v>
      </c>
      <c r="K241" s="374" t="s">
        <v>290</v>
      </c>
      <c r="L241" s="375" t="s">
        <v>291</v>
      </c>
      <c r="M241" s="375" t="s">
        <v>292</v>
      </c>
      <c r="N241" s="36" t="s">
        <v>301</v>
      </c>
      <c r="O241" s="36" t="s">
        <v>301</v>
      </c>
      <c r="P241" s="53">
        <v>15525000</v>
      </c>
      <c r="Q241" s="36" t="s">
        <v>301</v>
      </c>
      <c r="R241" s="431">
        <f>P241+(P241*10%)</f>
        <v>17077500</v>
      </c>
      <c r="S241" s="36" t="s">
        <v>301</v>
      </c>
      <c r="T241" s="431">
        <f>R241+(R241*10%)</f>
        <v>18785250</v>
      </c>
      <c r="U241" s="36" t="s">
        <v>301</v>
      </c>
      <c r="V241" s="431">
        <f>T241+(T241*10%)</f>
        <v>20663775</v>
      </c>
      <c r="W241" s="36" t="s">
        <v>301</v>
      </c>
      <c r="X241" s="431">
        <f>V241+(V241*10%)</f>
        <v>22730152.5</v>
      </c>
      <c r="Y241" s="36" t="s">
        <v>301</v>
      </c>
      <c r="Z241" s="431">
        <f>X241+V241+T241+R241+P241</f>
        <v>94781677.5</v>
      </c>
      <c r="AA241" s="52" t="s">
        <v>66</v>
      </c>
      <c r="AB241" s="53">
        <v>50000</v>
      </c>
      <c r="AC241" s="50">
        <f>AB241+(AB241*5%)</f>
        <v>52500</v>
      </c>
      <c r="AD241" s="51" t="s">
        <v>66</v>
      </c>
      <c r="AE241" s="52" t="s">
        <v>81</v>
      </c>
      <c r="AF241" s="36" t="s">
        <v>75</v>
      </c>
    </row>
    <row r="242" spans="2:32" s="63" customFormat="1" ht="28.5" x14ac:dyDescent="0.25">
      <c r="B242" s="36"/>
      <c r="C242" s="36"/>
      <c r="D242" s="441"/>
      <c r="E242" s="33"/>
      <c r="F242" s="34"/>
      <c r="G242" s="34"/>
      <c r="H242" s="34"/>
      <c r="I242" s="34"/>
      <c r="J242" s="36"/>
      <c r="K242" s="374" t="s">
        <v>293</v>
      </c>
      <c r="L242" s="375" t="s">
        <v>291</v>
      </c>
      <c r="M242" s="362" t="s">
        <v>1226</v>
      </c>
      <c r="N242" s="36" t="s">
        <v>431</v>
      </c>
      <c r="O242" s="36" t="s">
        <v>431</v>
      </c>
      <c r="P242" s="53"/>
      <c r="Q242" s="36" t="s">
        <v>431</v>
      </c>
      <c r="R242" s="37"/>
      <c r="S242" s="36" t="s">
        <v>431</v>
      </c>
      <c r="T242" s="37"/>
      <c r="U242" s="36" t="s">
        <v>431</v>
      </c>
      <c r="V242" s="37"/>
      <c r="W242" s="36" t="s">
        <v>431</v>
      </c>
      <c r="X242" s="37"/>
      <c r="Y242" s="36" t="s">
        <v>431</v>
      </c>
      <c r="Z242" s="37"/>
      <c r="AA242" s="52"/>
      <c r="AB242" s="53"/>
      <c r="AC242" s="50"/>
      <c r="AD242" s="51"/>
      <c r="AE242" s="52"/>
      <c r="AF242" s="36"/>
    </row>
    <row r="243" spans="2:32" s="63" customFormat="1" ht="15" x14ac:dyDescent="0.25">
      <c r="B243" s="36"/>
      <c r="C243" s="36"/>
      <c r="D243" s="441"/>
      <c r="E243" s="33"/>
      <c r="F243" s="34"/>
      <c r="G243" s="34"/>
      <c r="H243" s="34"/>
      <c r="I243" s="34"/>
      <c r="J243" s="36"/>
      <c r="K243" s="374" t="s">
        <v>294</v>
      </c>
      <c r="L243" s="375" t="s">
        <v>291</v>
      </c>
      <c r="M243" s="362" t="s">
        <v>460</v>
      </c>
      <c r="N243" s="41">
        <v>1</v>
      </c>
      <c r="O243" s="41">
        <v>1</v>
      </c>
      <c r="P243" s="53"/>
      <c r="Q243" s="41">
        <v>1</v>
      </c>
      <c r="R243" s="37"/>
      <c r="S243" s="41">
        <v>1</v>
      </c>
      <c r="T243" s="37"/>
      <c r="U243" s="41">
        <v>1</v>
      </c>
      <c r="V243" s="37"/>
      <c r="W243" s="41">
        <v>1</v>
      </c>
      <c r="X243" s="37"/>
      <c r="Y243" s="41">
        <v>1</v>
      </c>
      <c r="Z243" s="37"/>
      <c r="AA243" s="52"/>
      <c r="AB243" s="53"/>
      <c r="AC243" s="50"/>
      <c r="AD243" s="51"/>
      <c r="AE243" s="52"/>
      <c r="AF243" s="36"/>
    </row>
    <row r="244" spans="2:32" s="63" customFormat="1" ht="15" x14ac:dyDescent="0.25">
      <c r="B244" s="36"/>
      <c r="C244" s="36"/>
      <c r="D244" s="441"/>
      <c r="E244" s="33"/>
      <c r="F244" s="34"/>
      <c r="G244" s="34"/>
      <c r="H244" s="34"/>
      <c r="I244" s="34"/>
      <c r="J244" s="36"/>
      <c r="K244" s="374" t="s">
        <v>295</v>
      </c>
      <c r="L244" s="375" t="s">
        <v>291</v>
      </c>
      <c r="M244" s="362" t="s">
        <v>1407</v>
      </c>
      <c r="N244" s="36"/>
      <c r="O244" s="36"/>
      <c r="P244" s="53"/>
      <c r="Q244" s="36"/>
      <c r="R244" s="37"/>
      <c r="S244" s="36"/>
      <c r="T244" s="37"/>
      <c r="U244" s="36"/>
      <c r="V244" s="37"/>
      <c r="W244" s="36"/>
      <c r="X244" s="37"/>
      <c r="Y244" s="36"/>
      <c r="Z244" s="37"/>
      <c r="AA244" s="52"/>
      <c r="AB244" s="53"/>
      <c r="AC244" s="50"/>
      <c r="AD244" s="51"/>
      <c r="AE244" s="52"/>
      <c r="AF244" s="36"/>
    </row>
    <row r="245" spans="2:32" s="63" customFormat="1" ht="28.5" x14ac:dyDescent="0.25">
      <c r="B245" s="92"/>
      <c r="C245" s="92"/>
      <c r="D245" s="442"/>
      <c r="E245" s="91"/>
      <c r="F245" s="376"/>
      <c r="G245" s="376"/>
      <c r="H245" s="376"/>
      <c r="I245" s="376"/>
      <c r="J245" s="92"/>
      <c r="K245" s="377" t="s">
        <v>297</v>
      </c>
      <c r="L245" s="378" t="s">
        <v>291</v>
      </c>
      <c r="M245" s="386" t="s">
        <v>1406</v>
      </c>
      <c r="N245" s="92"/>
      <c r="O245" s="92"/>
      <c r="P245" s="381"/>
      <c r="Q245" s="92"/>
      <c r="R245" s="101"/>
      <c r="S245" s="92"/>
      <c r="T245" s="101"/>
      <c r="U245" s="92"/>
      <c r="V245" s="101"/>
      <c r="W245" s="92"/>
      <c r="X245" s="101"/>
      <c r="Y245" s="92"/>
      <c r="Z245" s="101"/>
      <c r="AA245" s="95"/>
      <c r="AB245" s="381"/>
      <c r="AC245" s="93"/>
      <c r="AD245" s="94"/>
      <c r="AE245" s="95"/>
      <c r="AF245" s="92"/>
    </row>
    <row r="246" spans="2:32" s="63" customFormat="1" ht="15" x14ac:dyDescent="0.25">
      <c r="B246" s="36"/>
      <c r="C246" s="36"/>
      <c r="D246" s="441"/>
      <c r="E246" s="33"/>
      <c r="F246" s="34"/>
      <c r="G246" s="34"/>
      <c r="H246" s="34"/>
      <c r="I246" s="34"/>
      <c r="J246" s="36"/>
      <c r="K246" s="46"/>
      <c r="L246" s="46"/>
      <c r="M246" s="362"/>
      <c r="N246" s="36"/>
      <c r="O246" s="36"/>
      <c r="P246" s="53"/>
      <c r="Q246" s="36"/>
      <c r="R246" s="37"/>
      <c r="S246" s="36"/>
      <c r="T246" s="37"/>
      <c r="U246" s="36"/>
      <c r="V246" s="37"/>
      <c r="W246" s="36"/>
      <c r="X246" s="37"/>
      <c r="Y246" s="36"/>
      <c r="Z246" s="37"/>
      <c r="AA246" s="52"/>
      <c r="AB246" s="53"/>
      <c r="AC246" s="50"/>
      <c r="AD246" s="51"/>
      <c r="AE246" s="52"/>
      <c r="AF246" s="36"/>
    </row>
    <row r="247" spans="2:32" s="32" customFormat="1" ht="28.5" x14ac:dyDescent="0.25">
      <c r="B247" s="36"/>
      <c r="C247" s="36"/>
      <c r="D247" s="434"/>
      <c r="E247" s="33">
        <v>1</v>
      </c>
      <c r="F247" s="34">
        <v>1</v>
      </c>
      <c r="G247" s="34">
        <v>1</v>
      </c>
      <c r="H247" s="34">
        <v>6</v>
      </c>
      <c r="I247" s="34">
        <v>6</v>
      </c>
      <c r="J247" s="36" t="s">
        <v>124</v>
      </c>
      <c r="K247" s="374" t="s">
        <v>290</v>
      </c>
      <c r="L247" s="375" t="s">
        <v>291</v>
      </c>
      <c r="M247" s="375" t="s">
        <v>292</v>
      </c>
      <c r="N247" s="36" t="s">
        <v>301</v>
      </c>
      <c r="O247" s="36" t="s">
        <v>301</v>
      </c>
      <c r="P247" s="53">
        <v>2140476400</v>
      </c>
      <c r="Q247" s="36" t="s">
        <v>301</v>
      </c>
      <c r="R247" s="431">
        <f>P247+(P247*10%)</f>
        <v>2354524040</v>
      </c>
      <c r="S247" s="36" t="s">
        <v>301</v>
      </c>
      <c r="T247" s="431">
        <f>R247+(R247*10%)</f>
        <v>2589976444</v>
      </c>
      <c r="U247" s="36" t="s">
        <v>301</v>
      </c>
      <c r="V247" s="431">
        <f>T247+(T247*10%)</f>
        <v>2848974088.4000001</v>
      </c>
      <c r="W247" s="36" t="s">
        <v>301</v>
      </c>
      <c r="X247" s="431">
        <f>V247+(V247*10%)</f>
        <v>3133871497.2400002</v>
      </c>
      <c r="Y247" s="36" t="s">
        <v>301</v>
      </c>
      <c r="Z247" s="431">
        <f>X247+V247+T247+R247+P247</f>
        <v>13067822469.639999</v>
      </c>
      <c r="AA247" s="52" t="s">
        <v>66</v>
      </c>
      <c r="AB247" s="53">
        <v>50000</v>
      </c>
      <c r="AC247" s="50">
        <f>AB247+(AB247*5%)</f>
        <v>52500</v>
      </c>
      <c r="AD247" s="51" t="s">
        <v>66</v>
      </c>
      <c r="AE247" s="52" t="s">
        <v>81</v>
      </c>
      <c r="AF247" s="36" t="s">
        <v>66</v>
      </c>
    </row>
    <row r="248" spans="2:32" s="63" customFormat="1" ht="57" x14ac:dyDescent="0.25">
      <c r="B248" s="36"/>
      <c r="C248" s="36"/>
      <c r="D248" s="441"/>
      <c r="E248" s="33"/>
      <c r="F248" s="34"/>
      <c r="G248" s="34"/>
      <c r="H248" s="34"/>
      <c r="I248" s="34"/>
      <c r="J248" s="36"/>
      <c r="K248" s="374" t="s">
        <v>293</v>
      </c>
      <c r="L248" s="375" t="s">
        <v>291</v>
      </c>
      <c r="M248" s="362" t="s">
        <v>1227</v>
      </c>
      <c r="N248" s="36" t="s">
        <v>1110</v>
      </c>
      <c r="O248" s="36" t="s">
        <v>1110</v>
      </c>
      <c r="P248" s="53"/>
      <c r="Q248" s="36" t="s">
        <v>1110</v>
      </c>
      <c r="R248" s="37"/>
      <c r="S248" s="36" t="s">
        <v>1110</v>
      </c>
      <c r="T248" s="37"/>
      <c r="U248" s="36" t="s">
        <v>1110</v>
      </c>
      <c r="V248" s="37"/>
      <c r="W248" s="36" t="s">
        <v>1110</v>
      </c>
      <c r="X248" s="37"/>
      <c r="Y248" s="36" t="s">
        <v>1110</v>
      </c>
      <c r="Z248" s="37"/>
      <c r="AA248" s="52"/>
      <c r="AB248" s="53"/>
      <c r="AC248" s="50"/>
      <c r="AD248" s="51"/>
      <c r="AE248" s="52"/>
      <c r="AF248" s="36"/>
    </row>
    <row r="249" spans="2:32" s="63" customFormat="1" ht="15" x14ac:dyDescent="0.25">
      <c r="B249" s="36"/>
      <c r="C249" s="36"/>
      <c r="D249" s="441"/>
      <c r="E249" s="33"/>
      <c r="F249" s="34"/>
      <c r="G249" s="34"/>
      <c r="H249" s="34"/>
      <c r="I249" s="34"/>
      <c r="J249" s="36"/>
      <c r="K249" s="374" t="s">
        <v>294</v>
      </c>
      <c r="L249" s="375" t="s">
        <v>291</v>
      </c>
      <c r="M249" s="362" t="s">
        <v>1408</v>
      </c>
      <c r="N249" s="41">
        <v>1</v>
      </c>
      <c r="O249" s="41">
        <v>1</v>
      </c>
      <c r="P249" s="53"/>
      <c r="Q249" s="41">
        <v>1</v>
      </c>
      <c r="R249" s="37"/>
      <c r="S249" s="41">
        <v>1</v>
      </c>
      <c r="T249" s="37"/>
      <c r="U249" s="41">
        <v>1</v>
      </c>
      <c r="V249" s="37"/>
      <c r="W249" s="41">
        <v>1</v>
      </c>
      <c r="X249" s="37"/>
      <c r="Y249" s="41">
        <v>1</v>
      </c>
      <c r="Z249" s="37"/>
      <c r="AA249" s="52"/>
      <c r="AB249" s="53"/>
      <c r="AC249" s="50"/>
      <c r="AD249" s="51"/>
      <c r="AE249" s="52"/>
      <c r="AF249" s="36"/>
    </row>
    <row r="250" spans="2:32" s="63" customFormat="1" x14ac:dyDescent="0.3">
      <c r="B250" s="36"/>
      <c r="C250" s="36"/>
      <c r="D250" s="441"/>
      <c r="E250" s="33"/>
      <c r="F250" s="34"/>
      <c r="G250" s="34"/>
      <c r="H250" s="34"/>
      <c r="I250" s="34"/>
      <c r="J250" s="36"/>
      <c r="K250" s="374" t="s">
        <v>295</v>
      </c>
      <c r="L250" s="375" t="s">
        <v>291</v>
      </c>
      <c r="M250" s="399" t="s">
        <v>491</v>
      </c>
      <c r="N250" s="402"/>
      <c r="O250" s="402"/>
      <c r="P250" s="53"/>
      <c r="Q250" s="402"/>
      <c r="R250" s="37"/>
      <c r="S250" s="402"/>
      <c r="T250" s="37"/>
      <c r="U250" s="402"/>
      <c r="V250" s="37"/>
      <c r="W250" s="402"/>
      <c r="X250" s="37"/>
      <c r="Y250" s="402"/>
      <c r="Z250" s="37"/>
      <c r="AA250" s="52"/>
      <c r="AB250" s="53"/>
      <c r="AC250" s="50"/>
      <c r="AD250" s="51"/>
      <c r="AE250" s="52"/>
      <c r="AF250" s="36"/>
    </row>
    <row r="251" spans="2:32" s="63" customFormat="1" x14ac:dyDescent="0.3">
      <c r="B251" s="92"/>
      <c r="C251" s="92"/>
      <c r="D251" s="442"/>
      <c r="E251" s="91"/>
      <c r="F251" s="376"/>
      <c r="G251" s="376"/>
      <c r="H251" s="376"/>
      <c r="I251" s="376"/>
      <c r="J251" s="92"/>
      <c r="K251" s="377" t="s">
        <v>297</v>
      </c>
      <c r="L251" s="378" t="s">
        <v>291</v>
      </c>
      <c r="M251" s="401" t="s">
        <v>441</v>
      </c>
      <c r="N251" s="403"/>
      <c r="O251" s="403"/>
      <c r="P251" s="381"/>
      <c r="Q251" s="403"/>
      <c r="R251" s="101"/>
      <c r="S251" s="403"/>
      <c r="T251" s="101"/>
      <c r="U251" s="403"/>
      <c r="V251" s="101"/>
      <c r="W251" s="403"/>
      <c r="X251" s="101"/>
      <c r="Y251" s="403"/>
      <c r="Z251" s="101"/>
      <c r="AA251" s="95"/>
      <c r="AB251" s="381"/>
      <c r="AC251" s="93"/>
      <c r="AD251" s="94"/>
      <c r="AE251" s="95"/>
      <c r="AF251" s="92"/>
    </row>
    <row r="252" spans="2:32" s="63" customFormat="1" ht="15" x14ac:dyDescent="0.25">
      <c r="B252" s="36"/>
      <c r="C252" s="36"/>
      <c r="D252" s="441"/>
      <c r="E252" s="33"/>
      <c r="F252" s="34"/>
      <c r="G252" s="34"/>
      <c r="H252" s="34"/>
      <c r="I252" s="34"/>
      <c r="J252" s="36"/>
      <c r="K252" s="46"/>
      <c r="L252" s="46"/>
      <c r="M252" s="362"/>
      <c r="N252" s="36"/>
      <c r="O252" s="36"/>
      <c r="P252" s="53"/>
      <c r="Q252" s="36"/>
      <c r="R252" s="37"/>
      <c r="S252" s="36"/>
      <c r="T252" s="37"/>
      <c r="U252" s="36"/>
      <c r="V252" s="37"/>
      <c r="W252" s="36"/>
      <c r="X252" s="37"/>
      <c r="Y252" s="36"/>
      <c r="Z252" s="37"/>
      <c r="AA252" s="52"/>
      <c r="AB252" s="53"/>
      <c r="AC252" s="50"/>
      <c r="AD252" s="51"/>
      <c r="AE252" s="52"/>
      <c r="AF252" s="36"/>
    </row>
    <row r="253" spans="2:32" s="63" customFormat="1" ht="162" x14ac:dyDescent="0.25">
      <c r="B253" s="27" t="s">
        <v>1059</v>
      </c>
      <c r="C253" s="426" t="s">
        <v>1057</v>
      </c>
      <c r="D253" s="427" t="s">
        <v>1067</v>
      </c>
      <c r="E253" s="26">
        <v>1</v>
      </c>
      <c r="F253" s="38">
        <v>1</v>
      </c>
      <c r="G253" s="38">
        <v>1</v>
      </c>
      <c r="H253" s="38">
        <v>7</v>
      </c>
      <c r="I253" s="38"/>
      <c r="J253" s="27" t="s">
        <v>125</v>
      </c>
      <c r="K253" s="496" t="s">
        <v>1228</v>
      </c>
      <c r="L253" s="497"/>
      <c r="M253" s="498"/>
      <c r="N253" s="404">
        <v>1</v>
      </c>
      <c r="O253" s="404">
        <v>1</v>
      </c>
      <c r="P253" s="61">
        <f t="shared" ref="P253:R253" si="8">SUM(P254:P277)</f>
        <v>1267506300</v>
      </c>
      <c r="Q253" s="404">
        <v>1</v>
      </c>
      <c r="R253" s="61">
        <f t="shared" si="8"/>
        <v>1394256930</v>
      </c>
      <c r="S253" s="404">
        <v>1</v>
      </c>
      <c r="T253" s="61">
        <f t="shared" ref="T253" si="9">SUM(T254:T277)</f>
        <v>1533682623</v>
      </c>
      <c r="U253" s="404">
        <v>1</v>
      </c>
      <c r="V253" s="61">
        <f t="shared" ref="V253" si="10">SUM(V254:V277)</f>
        <v>1687050885.3000002</v>
      </c>
      <c r="W253" s="404">
        <v>1</v>
      </c>
      <c r="X253" s="61">
        <f t="shared" ref="X253" si="11">SUM(X254:X277)</f>
        <v>1855755973.8299999</v>
      </c>
      <c r="Y253" s="404">
        <v>1</v>
      </c>
      <c r="Z253" s="430">
        <f>X253+V253+T253+R253+P253</f>
        <v>7738252712.1300001</v>
      </c>
      <c r="AA253" s="31"/>
      <c r="AB253" s="61">
        <v>50000</v>
      </c>
      <c r="AC253" s="82">
        <f>AB253+(AB253*5%)</f>
        <v>52500</v>
      </c>
      <c r="AD253" s="83" t="s">
        <v>66</v>
      </c>
      <c r="AE253" s="75" t="s">
        <v>81</v>
      </c>
      <c r="AF253" s="27" t="s">
        <v>120</v>
      </c>
    </row>
    <row r="254" spans="2:32" s="63" customFormat="1" ht="15" x14ac:dyDescent="0.25">
      <c r="B254" s="36"/>
      <c r="C254" s="36"/>
      <c r="D254" s="441"/>
      <c r="E254" s="33"/>
      <c r="F254" s="34"/>
      <c r="G254" s="34"/>
      <c r="H254" s="34"/>
      <c r="I254" s="34"/>
      <c r="J254" s="36"/>
      <c r="K254" s="46"/>
      <c r="L254" s="46"/>
      <c r="M254" s="362"/>
      <c r="N254" s="371"/>
      <c r="O254" s="371"/>
      <c r="P254" s="53"/>
      <c r="Q254" s="371"/>
      <c r="R254" s="37"/>
      <c r="S254" s="371"/>
      <c r="T254" s="37"/>
      <c r="U254" s="371"/>
      <c r="V254" s="37"/>
      <c r="W254" s="371"/>
      <c r="X254" s="37"/>
      <c r="Y254" s="371"/>
      <c r="Z254" s="37"/>
      <c r="AA254" s="52"/>
      <c r="AB254" s="53"/>
      <c r="AC254" s="50"/>
      <c r="AD254" s="51"/>
      <c r="AE254" s="52"/>
      <c r="AF254" s="36"/>
    </row>
    <row r="255" spans="2:32" s="32" customFormat="1" ht="28.5" x14ac:dyDescent="0.25">
      <c r="B255" s="36"/>
      <c r="C255" s="36"/>
      <c r="D255" s="434"/>
      <c r="E255" s="33">
        <v>1</v>
      </c>
      <c r="F255" s="34">
        <v>1</v>
      </c>
      <c r="G255" s="34">
        <v>1</v>
      </c>
      <c r="H255" s="34">
        <v>7</v>
      </c>
      <c r="I255" s="34">
        <v>1</v>
      </c>
      <c r="J255" s="36" t="s">
        <v>126</v>
      </c>
      <c r="K255" s="374" t="s">
        <v>290</v>
      </c>
      <c r="L255" s="375" t="s">
        <v>291</v>
      </c>
      <c r="M255" s="375" t="s">
        <v>292</v>
      </c>
      <c r="N255" s="36" t="s">
        <v>301</v>
      </c>
      <c r="O255" s="36" t="s">
        <v>301</v>
      </c>
      <c r="P255" s="53">
        <v>76809900</v>
      </c>
      <c r="Q255" s="36" t="s">
        <v>301</v>
      </c>
      <c r="R255" s="431">
        <f>P255+(P255*10%)</f>
        <v>84490890</v>
      </c>
      <c r="S255" s="36" t="s">
        <v>301</v>
      </c>
      <c r="T255" s="431">
        <f>R255+(R255*10%)</f>
        <v>92939979</v>
      </c>
      <c r="U255" s="36" t="s">
        <v>301</v>
      </c>
      <c r="V255" s="431">
        <f>T255+(T255*10%)</f>
        <v>102233976.90000001</v>
      </c>
      <c r="W255" s="36" t="s">
        <v>301</v>
      </c>
      <c r="X255" s="431">
        <f>V255+(V255*10%)</f>
        <v>112457374.59</v>
      </c>
      <c r="Y255" s="36" t="s">
        <v>301</v>
      </c>
      <c r="Z255" s="431">
        <f>X255+V255+T255+R255+P255</f>
        <v>468932120.49000001</v>
      </c>
      <c r="AA255" s="52" t="s">
        <v>66</v>
      </c>
      <c r="AB255" s="53">
        <v>150000</v>
      </c>
      <c r="AC255" s="50">
        <v>200000</v>
      </c>
      <c r="AD255" s="51" t="s">
        <v>66</v>
      </c>
      <c r="AE255" s="52" t="s">
        <v>81</v>
      </c>
      <c r="AF255" s="36" t="s">
        <v>75</v>
      </c>
    </row>
    <row r="256" spans="2:32" s="63" customFormat="1" ht="28.5" x14ac:dyDescent="0.25">
      <c r="B256" s="36"/>
      <c r="C256" s="36"/>
      <c r="D256" s="441"/>
      <c r="E256" s="33"/>
      <c r="F256" s="34"/>
      <c r="G256" s="34"/>
      <c r="H256" s="34"/>
      <c r="I256" s="34"/>
      <c r="J256" s="36"/>
      <c r="K256" s="374" t="s">
        <v>293</v>
      </c>
      <c r="L256" s="375" t="s">
        <v>291</v>
      </c>
      <c r="M256" s="362" t="s">
        <v>1229</v>
      </c>
      <c r="N256" s="36" t="s">
        <v>432</v>
      </c>
      <c r="O256" s="36" t="s">
        <v>432</v>
      </c>
      <c r="P256" s="53"/>
      <c r="Q256" s="36" t="s">
        <v>432</v>
      </c>
      <c r="R256" s="37"/>
      <c r="S256" s="36" t="s">
        <v>432</v>
      </c>
      <c r="T256" s="37"/>
      <c r="U256" s="36" t="s">
        <v>432</v>
      </c>
      <c r="V256" s="37"/>
      <c r="W256" s="36" t="s">
        <v>432</v>
      </c>
      <c r="X256" s="37"/>
      <c r="Y256" s="36" t="s">
        <v>432</v>
      </c>
      <c r="Z256" s="37"/>
      <c r="AA256" s="52"/>
      <c r="AB256" s="53"/>
      <c r="AC256" s="50"/>
      <c r="AD256" s="51"/>
      <c r="AE256" s="52"/>
      <c r="AF256" s="36" t="s">
        <v>127</v>
      </c>
    </row>
    <row r="257" spans="2:32" s="32" customFormat="1" x14ac:dyDescent="0.3">
      <c r="B257" s="36"/>
      <c r="C257" s="36"/>
      <c r="D257" s="434"/>
      <c r="E257" s="33"/>
      <c r="F257" s="34"/>
      <c r="G257" s="34"/>
      <c r="H257" s="34"/>
      <c r="I257" s="34"/>
      <c r="J257" s="36"/>
      <c r="K257" s="374"/>
      <c r="L257" s="375" t="s">
        <v>291</v>
      </c>
      <c r="M257" s="362" t="s">
        <v>1230</v>
      </c>
      <c r="N257" s="36" t="s">
        <v>433</v>
      </c>
      <c r="O257" s="36" t="s">
        <v>433</v>
      </c>
      <c r="P257" s="54"/>
      <c r="Q257" s="36" t="s">
        <v>433</v>
      </c>
      <c r="R257" s="37"/>
      <c r="S257" s="36" t="s">
        <v>433</v>
      </c>
      <c r="T257" s="37"/>
      <c r="U257" s="36" t="s">
        <v>433</v>
      </c>
      <c r="V257" s="37"/>
      <c r="W257" s="36" t="s">
        <v>433</v>
      </c>
      <c r="X257" s="37"/>
      <c r="Y257" s="36" t="s">
        <v>433</v>
      </c>
      <c r="Z257" s="37"/>
      <c r="AA257" s="57"/>
      <c r="AB257" s="61">
        <f>SUM(AB262:AB285)</f>
        <v>1127000</v>
      </c>
      <c r="AC257" s="61">
        <f>SUM(AC262:AC285)</f>
        <v>1141850</v>
      </c>
      <c r="AD257" s="56"/>
      <c r="AE257" s="57"/>
      <c r="AF257" s="36"/>
    </row>
    <row r="258" spans="2:32" s="32" customFormat="1" ht="28.5" x14ac:dyDescent="0.3">
      <c r="B258" s="36"/>
      <c r="C258" s="36"/>
      <c r="D258" s="434"/>
      <c r="E258" s="33"/>
      <c r="F258" s="34"/>
      <c r="G258" s="34"/>
      <c r="H258" s="34"/>
      <c r="I258" s="34"/>
      <c r="J258" s="36"/>
      <c r="K258" s="374" t="s">
        <v>294</v>
      </c>
      <c r="L258" s="375" t="s">
        <v>291</v>
      </c>
      <c r="M258" s="362" t="s">
        <v>437</v>
      </c>
      <c r="N258" s="41">
        <v>1</v>
      </c>
      <c r="O258" s="41">
        <v>1</v>
      </c>
      <c r="P258" s="54"/>
      <c r="Q258" s="41">
        <v>1</v>
      </c>
      <c r="R258" s="37"/>
      <c r="S258" s="41">
        <v>1</v>
      </c>
      <c r="T258" s="37"/>
      <c r="U258" s="41">
        <v>1</v>
      </c>
      <c r="V258" s="37"/>
      <c r="W258" s="41">
        <v>1</v>
      </c>
      <c r="X258" s="37"/>
      <c r="Y258" s="41">
        <v>1</v>
      </c>
      <c r="Z258" s="37"/>
      <c r="AA258" s="57"/>
      <c r="AB258" s="61"/>
      <c r="AC258" s="61"/>
      <c r="AD258" s="56"/>
      <c r="AE258" s="57"/>
      <c r="AF258" s="36"/>
    </row>
    <row r="259" spans="2:32" s="32" customFormat="1" x14ac:dyDescent="0.3">
      <c r="B259" s="36"/>
      <c r="C259" s="36"/>
      <c r="D259" s="434"/>
      <c r="E259" s="33"/>
      <c r="F259" s="34"/>
      <c r="G259" s="34"/>
      <c r="H259" s="34"/>
      <c r="I259" s="34"/>
      <c r="J259" s="36"/>
      <c r="K259" s="374" t="s">
        <v>295</v>
      </c>
      <c r="L259" s="375" t="s">
        <v>291</v>
      </c>
      <c r="M259" s="384" t="s">
        <v>440</v>
      </c>
      <c r="N259" s="36"/>
      <c r="O259" s="36"/>
      <c r="P259" s="54"/>
      <c r="Q259" s="36"/>
      <c r="R259" s="37"/>
      <c r="S259" s="36"/>
      <c r="T259" s="37"/>
      <c r="U259" s="36"/>
      <c r="V259" s="37"/>
      <c r="W259" s="36"/>
      <c r="X259" s="37"/>
      <c r="Y259" s="36"/>
      <c r="Z259" s="37"/>
      <c r="AA259" s="57"/>
      <c r="AB259" s="61"/>
      <c r="AC259" s="61"/>
      <c r="AD259" s="56"/>
      <c r="AE259" s="57"/>
      <c r="AF259" s="36"/>
    </row>
    <row r="260" spans="2:32" s="32" customFormat="1" x14ac:dyDescent="0.3">
      <c r="B260" s="92"/>
      <c r="C260" s="92"/>
      <c r="D260" s="439"/>
      <c r="E260" s="91"/>
      <c r="F260" s="376"/>
      <c r="G260" s="376"/>
      <c r="H260" s="376"/>
      <c r="I260" s="376"/>
      <c r="J260" s="92"/>
      <c r="K260" s="377" t="s">
        <v>297</v>
      </c>
      <c r="L260" s="378" t="s">
        <v>291</v>
      </c>
      <c r="M260" s="385" t="s">
        <v>441</v>
      </c>
      <c r="N260" s="92"/>
      <c r="O260" s="92"/>
      <c r="P260" s="387"/>
      <c r="Q260" s="92"/>
      <c r="R260" s="101"/>
      <c r="S260" s="92"/>
      <c r="T260" s="101"/>
      <c r="U260" s="92"/>
      <c r="V260" s="101"/>
      <c r="W260" s="92"/>
      <c r="X260" s="101"/>
      <c r="Y260" s="92"/>
      <c r="Z260" s="101"/>
      <c r="AA260" s="388"/>
      <c r="AB260" s="405"/>
      <c r="AC260" s="405"/>
      <c r="AD260" s="390"/>
      <c r="AE260" s="388"/>
      <c r="AF260" s="92"/>
    </row>
    <row r="261" spans="2:32" s="32" customFormat="1" x14ac:dyDescent="0.3">
      <c r="B261" s="36"/>
      <c r="C261" s="36"/>
      <c r="D261" s="434"/>
      <c r="E261" s="33"/>
      <c r="F261" s="34"/>
      <c r="G261" s="34"/>
      <c r="H261" s="34"/>
      <c r="I261" s="34"/>
      <c r="J261" s="36"/>
      <c r="K261" s="46"/>
      <c r="L261" s="46"/>
      <c r="M261" s="362"/>
      <c r="N261" s="36"/>
      <c r="O261" s="36"/>
      <c r="P261" s="54"/>
      <c r="Q261" s="36"/>
      <c r="R261" s="37"/>
      <c r="S261" s="36"/>
      <c r="T261" s="37"/>
      <c r="U261" s="36"/>
      <c r="V261" s="37"/>
      <c r="W261" s="36"/>
      <c r="X261" s="37"/>
      <c r="Y261" s="36"/>
      <c r="Z261" s="37"/>
      <c r="AA261" s="57"/>
      <c r="AB261" s="61"/>
      <c r="AC261" s="61"/>
      <c r="AD261" s="56"/>
      <c r="AE261" s="57"/>
      <c r="AF261" s="36"/>
    </row>
    <row r="262" spans="2:32" s="63" customFormat="1" ht="28.5" x14ac:dyDescent="0.25">
      <c r="B262" s="36"/>
      <c r="C262" s="36"/>
      <c r="D262" s="441"/>
      <c r="E262" s="33">
        <v>1</v>
      </c>
      <c r="F262" s="34">
        <v>1</v>
      </c>
      <c r="G262" s="34">
        <v>1</v>
      </c>
      <c r="H262" s="34">
        <v>7</v>
      </c>
      <c r="I262" s="34">
        <v>2</v>
      </c>
      <c r="J262" s="36" t="s">
        <v>128</v>
      </c>
      <c r="K262" s="374" t="s">
        <v>290</v>
      </c>
      <c r="L262" s="375" t="s">
        <v>291</v>
      </c>
      <c r="M262" s="375" t="s">
        <v>292</v>
      </c>
      <c r="N262" s="36" t="s">
        <v>301</v>
      </c>
      <c r="O262" s="36" t="s">
        <v>301</v>
      </c>
      <c r="P262" s="53">
        <v>974978900</v>
      </c>
      <c r="Q262" s="36" t="s">
        <v>301</v>
      </c>
      <c r="R262" s="431">
        <f>P262+(P262*10%)</f>
        <v>1072476790</v>
      </c>
      <c r="S262" s="36" t="s">
        <v>301</v>
      </c>
      <c r="T262" s="431">
        <f>R262+(R262*10%)</f>
        <v>1179724469</v>
      </c>
      <c r="U262" s="36" t="s">
        <v>301</v>
      </c>
      <c r="V262" s="431">
        <f>T262+(T262*10%)</f>
        <v>1297696915.9000001</v>
      </c>
      <c r="W262" s="36" t="s">
        <v>301</v>
      </c>
      <c r="X262" s="431">
        <f>V262+(V262*10%)</f>
        <v>1427466607.49</v>
      </c>
      <c r="Y262" s="36" t="s">
        <v>301</v>
      </c>
      <c r="Z262" s="431">
        <f>X262+V262+T262+R262+P262</f>
        <v>5952343682.3900003</v>
      </c>
      <c r="AA262" s="52" t="s">
        <v>66</v>
      </c>
      <c r="AB262" s="53"/>
      <c r="AC262" s="50"/>
      <c r="AD262" s="51"/>
      <c r="AE262" s="52"/>
      <c r="AF262" s="36" t="s">
        <v>120</v>
      </c>
    </row>
    <row r="263" spans="2:32" s="66" customFormat="1" ht="28.5" x14ac:dyDescent="0.25">
      <c r="B263" s="36"/>
      <c r="C263" s="36"/>
      <c r="D263" s="443"/>
      <c r="E263" s="33"/>
      <c r="F263" s="34"/>
      <c r="G263" s="34"/>
      <c r="H263" s="34"/>
      <c r="I263" s="34"/>
      <c r="J263" s="36"/>
      <c r="K263" s="374" t="s">
        <v>293</v>
      </c>
      <c r="L263" s="375" t="s">
        <v>291</v>
      </c>
      <c r="M263" s="363" t="s">
        <v>1231</v>
      </c>
      <c r="N263" s="36" t="s">
        <v>434</v>
      </c>
      <c r="O263" s="36" t="s">
        <v>434</v>
      </c>
      <c r="P263" s="67"/>
      <c r="Q263" s="36" t="s">
        <v>434</v>
      </c>
      <c r="R263" s="37"/>
      <c r="S263" s="36" t="s">
        <v>434</v>
      </c>
      <c r="T263" s="37"/>
      <c r="U263" s="36" t="s">
        <v>434</v>
      </c>
      <c r="V263" s="37"/>
      <c r="W263" s="36" t="s">
        <v>434</v>
      </c>
      <c r="X263" s="37"/>
      <c r="Y263" s="36" t="s">
        <v>434</v>
      </c>
      <c r="Z263" s="37"/>
      <c r="AA263" s="57"/>
      <c r="AB263" s="53">
        <v>200000</v>
      </c>
      <c r="AC263" s="50">
        <f>AB263</f>
        <v>200000</v>
      </c>
      <c r="AD263" s="51" t="s">
        <v>66</v>
      </c>
      <c r="AE263" s="52" t="s">
        <v>81</v>
      </c>
      <c r="AF263" s="36"/>
    </row>
    <row r="264" spans="2:32" s="66" customFormat="1" ht="28.5" x14ac:dyDescent="0.25">
      <c r="B264" s="36"/>
      <c r="C264" s="36"/>
      <c r="D264" s="443"/>
      <c r="E264" s="33"/>
      <c r="F264" s="34"/>
      <c r="G264" s="34"/>
      <c r="H264" s="34"/>
      <c r="I264" s="34"/>
      <c r="J264" s="36"/>
      <c r="K264" s="46"/>
      <c r="L264" s="375" t="s">
        <v>291</v>
      </c>
      <c r="M264" s="363" t="s">
        <v>1232</v>
      </c>
      <c r="N264" s="36" t="s">
        <v>1111</v>
      </c>
      <c r="O264" s="36" t="s">
        <v>1111</v>
      </c>
      <c r="P264" s="67"/>
      <c r="Q264" s="36" t="s">
        <v>1111</v>
      </c>
      <c r="R264" s="37"/>
      <c r="S264" s="36" t="s">
        <v>1111</v>
      </c>
      <c r="T264" s="37"/>
      <c r="U264" s="36" t="s">
        <v>1111</v>
      </c>
      <c r="V264" s="37"/>
      <c r="W264" s="36" t="s">
        <v>1111</v>
      </c>
      <c r="X264" s="37"/>
      <c r="Y264" s="36" t="s">
        <v>1111</v>
      </c>
      <c r="Z264" s="37"/>
      <c r="AA264" s="57"/>
      <c r="AB264" s="53"/>
      <c r="AC264" s="50"/>
      <c r="AD264" s="51"/>
      <c r="AE264" s="52"/>
      <c r="AF264" s="36"/>
    </row>
    <row r="265" spans="2:32" s="32" customFormat="1" ht="28.5" x14ac:dyDescent="0.3">
      <c r="B265" s="36"/>
      <c r="C265" s="36"/>
      <c r="D265" s="434"/>
      <c r="E265" s="33"/>
      <c r="F265" s="34"/>
      <c r="G265" s="34"/>
      <c r="H265" s="34"/>
      <c r="I265" s="34"/>
      <c r="J265" s="36"/>
      <c r="K265" s="46"/>
      <c r="L265" s="375" t="s">
        <v>291</v>
      </c>
      <c r="M265" s="363" t="s">
        <v>1233</v>
      </c>
      <c r="N265" s="36" t="s">
        <v>1111</v>
      </c>
      <c r="O265" s="36" t="s">
        <v>1111</v>
      </c>
      <c r="P265" s="53"/>
      <c r="Q265" s="36" t="s">
        <v>1111</v>
      </c>
      <c r="R265" s="37"/>
      <c r="S265" s="36" t="s">
        <v>1111</v>
      </c>
      <c r="T265" s="37"/>
      <c r="U265" s="36" t="s">
        <v>1111</v>
      </c>
      <c r="V265" s="37"/>
      <c r="W265" s="36" t="s">
        <v>1111</v>
      </c>
      <c r="X265" s="37"/>
      <c r="Y265" s="36" t="s">
        <v>1111</v>
      </c>
      <c r="Z265" s="37"/>
      <c r="AA265" s="52"/>
      <c r="AB265" s="54"/>
      <c r="AC265" s="55"/>
      <c r="AD265" s="56"/>
      <c r="AE265" s="57"/>
      <c r="AF265" s="36" t="s">
        <v>101</v>
      </c>
    </row>
    <row r="266" spans="2:32" s="32" customFormat="1" ht="42.75" x14ac:dyDescent="0.3">
      <c r="B266" s="36"/>
      <c r="C266" s="36"/>
      <c r="D266" s="434"/>
      <c r="E266" s="33"/>
      <c r="F266" s="34"/>
      <c r="G266" s="34"/>
      <c r="H266" s="34"/>
      <c r="I266" s="34"/>
      <c r="J266" s="36"/>
      <c r="K266" s="46"/>
      <c r="L266" s="375" t="s">
        <v>291</v>
      </c>
      <c r="M266" s="363" t="s">
        <v>1234</v>
      </c>
      <c r="N266" s="36" t="s">
        <v>1112</v>
      </c>
      <c r="O266" s="36" t="s">
        <v>1112</v>
      </c>
      <c r="P266" s="54"/>
      <c r="Q266" s="36" t="s">
        <v>1112</v>
      </c>
      <c r="R266" s="37"/>
      <c r="S266" s="36" t="s">
        <v>1112</v>
      </c>
      <c r="T266" s="37"/>
      <c r="U266" s="36" t="s">
        <v>1112</v>
      </c>
      <c r="V266" s="37"/>
      <c r="W266" s="36" t="s">
        <v>1112</v>
      </c>
      <c r="X266" s="37"/>
      <c r="Y266" s="36" t="s">
        <v>1112</v>
      </c>
      <c r="Z266" s="37"/>
      <c r="AA266" s="57"/>
      <c r="AB266" s="53">
        <v>630000</v>
      </c>
      <c r="AC266" s="50">
        <f>AB266</f>
        <v>630000</v>
      </c>
      <c r="AD266" s="51" t="s">
        <v>66</v>
      </c>
      <c r="AE266" s="52" t="s">
        <v>81</v>
      </c>
      <c r="AF266" s="36"/>
    </row>
    <row r="267" spans="2:32" s="32" customFormat="1" ht="42.75" x14ac:dyDescent="0.3">
      <c r="B267" s="36"/>
      <c r="C267" s="36"/>
      <c r="D267" s="434"/>
      <c r="E267" s="33"/>
      <c r="F267" s="34"/>
      <c r="G267" s="34"/>
      <c r="H267" s="34"/>
      <c r="I267" s="34"/>
      <c r="J267" s="36"/>
      <c r="K267" s="374" t="s">
        <v>294</v>
      </c>
      <c r="L267" s="375" t="s">
        <v>291</v>
      </c>
      <c r="M267" s="362" t="s">
        <v>438</v>
      </c>
      <c r="N267" s="41">
        <v>1</v>
      </c>
      <c r="O267" s="41">
        <v>1</v>
      </c>
      <c r="P267" s="54"/>
      <c r="Q267" s="41">
        <v>1</v>
      </c>
      <c r="R267" s="37"/>
      <c r="S267" s="41">
        <v>1</v>
      </c>
      <c r="T267" s="37"/>
      <c r="U267" s="41">
        <v>1</v>
      </c>
      <c r="V267" s="37"/>
      <c r="W267" s="41">
        <v>1</v>
      </c>
      <c r="X267" s="37"/>
      <c r="Y267" s="41">
        <v>1</v>
      </c>
      <c r="Z267" s="37"/>
      <c r="AA267" s="57"/>
      <c r="AB267" s="53"/>
      <c r="AC267" s="50"/>
      <c r="AD267" s="51"/>
      <c r="AE267" s="52"/>
      <c r="AF267" s="36"/>
    </row>
    <row r="268" spans="2:32" s="32" customFormat="1" x14ac:dyDescent="0.3">
      <c r="B268" s="36"/>
      <c r="C268" s="36"/>
      <c r="D268" s="434"/>
      <c r="E268" s="33"/>
      <c r="F268" s="34"/>
      <c r="G268" s="34"/>
      <c r="H268" s="34"/>
      <c r="I268" s="34"/>
      <c r="J268" s="36"/>
      <c r="K268" s="374" t="s">
        <v>295</v>
      </c>
      <c r="L268" s="375" t="s">
        <v>291</v>
      </c>
      <c r="M268" s="384" t="s">
        <v>440</v>
      </c>
      <c r="N268" s="36"/>
      <c r="O268" s="36"/>
      <c r="P268" s="54"/>
      <c r="Q268" s="36"/>
      <c r="R268" s="37"/>
      <c r="S268" s="36"/>
      <c r="T268" s="37"/>
      <c r="U268" s="36"/>
      <c r="V268" s="37"/>
      <c r="W268" s="36"/>
      <c r="X268" s="37"/>
      <c r="Y268" s="36"/>
      <c r="Z268" s="37"/>
      <c r="AA268" s="57"/>
      <c r="AB268" s="53"/>
      <c r="AC268" s="50"/>
      <c r="AD268" s="51"/>
      <c r="AE268" s="52"/>
      <c r="AF268" s="36"/>
    </row>
    <row r="269" spans="2:32" s="32" customFormat="1" x14ac:dyDescent="0.3">
      <c r="B269" s="92"/>
      <c r="C269" s="92"/>
      <c r="D269" s="439"/>
      <c r="E269" s="91"/>
      <c r="F269" s="376"/>
      <c r="G269" s="376"/>
      <c r="H269" s="376"/>
      <c r="I269" s="376"/>
      <c r="J269" s="92"/>
      <c r="K269" s="377" t="s">
        <v>297</v>
      </c>
      <c r="L269" s="378" t="s">
        <v>291</v>
      </c>
      <c r="M269" s="385" t="s">
        <v>441</v>
      </c>
      <c r="N269" s="92"/>
      <c r="O269" s="92"/>
      <c r="P269" s="387"/>
      <c r="Q269" s="92"/>
      <c r="R269" s="101"/>
      <c r="S269" s="92"/>
      <c r="T269" s="101"/>
      <c r="U269" s="92"/>
      <c r="V269" s="101"/>
      <c r="W269" s="92"/>
      <c r="X269" s="101"/>
      <c r="Y269" s="92"/>
      <c r="Z269" s="101"/>
      <c r="AA269" s="388"/>
      <c r="AB269" s="381"/>
      <c r="AC269" s="93"/>
      <c r="AD269" s="94"/>
      <c r="AE269" s="95"/>
      <c r="AF269" s="92"/>
    </row>
    <row r="270" spans="2:32" s="32" customFormat="1" x14ac:dyDescent="0.3">
      <c r="B270" s="36"/>
      <c r="C270" s="36"/>
      <c r="D270" s="434"/>
      <c r="E270" s="33"/>
      <c r="F270" s="34"/>
      <c r="G270" s="34"/>
      <c r="H270" s="34"/>
      <c r="I270" s="34"/>
      <c r="J270" s="36"/>
      <c r="K270" s="46"/>
      <c r="L270" s="46"/>
      <c r="M270" s="363"/>
      <c r="N270" s="36"/>
      <c r="O270" s="36"/>
      <c r="P270" s="54"/>
      <c r="Q270" s="36"/>
      <c r="R270" s="37"/>
      <c r="S270" s="36"/>
      <c r="T270" s="37"/>
      <c r="U270" s="36"/>
      <c r="V270" s="37"/>
      <c r="W270" s="36"/>
      <c r="X270" s="37"/>
      <c r="Y270" s="36"/>
      <c r="Z270" s="37"/>
      <c r="AA270" s="57"/>
      <c r="AB270" s="53"/>
      <c r="AC270" s="50"/>
      <c r="AD270" s="51"/>
      <c r="AE270" s="52"/>
      <c r="AF270" s="36"/>
    </row>
    <row r="271" spans="2:32" s="32" customFormat="1" ht="28.5" x14ac:dyDescent="0.25">
      <c r="B271" s="36"/>
      <c r="C271" s="36"/>
      <c r="D271" s="434"/>
      <c r="E271" s="33">
        <v>1</v>
      </c>
      <c r="F271" s="34">
        <v>1</v>
      </c>
      <c r="G271" s="34">
        <v>1</v>
      </c>
      <c r="H271" s="34">
        <v>7</v>
      </c>
      <c r="I271" s="34">
        <v>3</v>
      </c>
      <c r="J271" s="36" t="s">
        <v>1070</v>
      </c>
      <c r="K271" s="374" t="s">
        <v>290</v>
      </c>
      <c r="L271" s="375" t="s">
        <v>291</v>
      </c>
      <c r="M271" s="375" t="s">
        <v>292</v>
      </c>
      <c r="N271" s="36" t="s">
        <v>301</v>
      </c>
      <c r="O271" s="36" t="s">
        <v>301</v>
      </c>
      <c r="P271" s="53">
        <v>45762500</v>
      </c>
      <c r="Q271" s="36" t="s">
        <v>301</v>
      </c>
      <c r="R271" s="431">
        <f>P271+(P271*10%)</f>
        <v>50338750</v>
      </c>
      <c r="S271" s="36" t="s">
        <v>301</v>
      </c>
      <c r="T271" s="431">
        <f>R271+(R271*10%)</f>
        <v>55372625</v>
      </c>
      <c r="U271" s="36" t="s">
        <v>301</v>
      </c>
      <c r="V271" s="431">
        <f>T271+(T271*10%)</f>
        <v>60909887.5</v>
      </c>
      <c r="W271" s="36" t="s">
        <v>301</v>
      </c>
      <c r="X271" s="431">
        <f>V271+(V271*10%)</f>
        <v>67000876.25</v>
      </c>
      <c r="Y271" s="36" t="s">
        <v>301</v>
      </c>
      <c r="Z271" s="431">
        <f>X271+V271+T271+R271+P271</f>
        <v>279384638.75</v>
      </c>
      <c r="AA271" s="52" t="s">
        <v>66</v>
      </c>
      <c r="AB271" s="67"/>
      <c r="AC271" s="55"/>
      <c r="AD271" s="56"/>
      <c r="AE271" s="57"/>
      <c r="AF271" s="36" t="s">
        <v>120</v>
      </c>
    </row>
    <row r="272" spans="2:32" s="32" customFormat="1" ht="28.5" x14ac:dyDescent="0.25">
      <c r="B272" s="36"/>
      <c r="C272" s="36"/>
      <c r="D272" s="434"/>
      <c r="E272" s="33"/>
      <c r="F272" s="34"/>
      <c r="G272" s="34"/>
      <c r="H272" s="34"/>
      <c r="I272" s="34"/>
      <c r="J272" s="36"/>
      <c r="K272" s="374" t="s">
        <v>293</v>
      </c>
      <c r="L272" s="375" t="s">
        <v>291</v>
      </c>
      <c r="M272" s="362" t="s">
        <v>1235</v>
      </c>
      <c r="N272" s="36" t="s">
        <v>431</v>
      </c>
      <c r="O272" s="36" t="s">
        <v>431</v>
      </c>
      <c r="P272" s="53"/>
      <c r="Q272" s="36" t="s">
        <v>431</v>
      </c>
      <c r="R272" s="37"/>
      <c r="S272" s="36" t="s">
        <v>431</v>
      </c>
      <c r="T272" s="37"/>
      <c r="U272" s="36" t="s">
        <v>431</v>
      </c>
      <c r="V272" s="37"/>
      <c r="W272" s="36" t="s">
        <v>431</v>
      </c>
      <c r="X272" s="37"/>
      <c r="Y272" s="36" t="s">
        <v>431</v>
      </c>
      <c r="Z272" s="37"/>
      <c r="AA272" s="52"/>
      <c r="AB272" s="67"/>
      <c r="AC272" s="55"/>
      <c r="AD272" s="56"/>
      <c r="AE272" s="57"/>
      <c r="AF272" s="36"/>
    </row>
    <row r="273" spans="2:32" s="32" customFormat="1" ht="15" x14ac:dyDescent="0.25">
      <c r="B273" s="36"/>
      <c r="C273" s="36"/>
      <c r="D273" s="434"/>
      <c r="E273" s="33"/>
      <c r="F273" s="34"/>
      <c r="G273" s="34"/>
      <c r="H273" s="34"/>
      <c r="I273" s="34"/>
      <c r="J273" s="36"/>
      <c r="K273" s="374" t="s">
        <v>294</v>
      </c>
      <c r="L273" s="375" t="s">
        <v>291</v>
      </c>
      <c r="M273" s="362" t="s">
        <v>439</v>
      </c>
      <c r="N273" s="41">
        <v>1</v>
      </c>
      <c r="O273" s="41">
        <v>1</v>
      </c>
      <c r="P273" s="53"/>
      <c r="Q273" s="41">
        <v>1</v>
      </c>
      <c r="R273" s="37"/>
      <c r="S273" s="41">
        <v>1</v>
      </c>
      <c r="T273" s="37"/>
      <c r="U273" s="41">
        <v>1</v>
      </c>
      <c r="V273" s="37"/>
      <c r="W273" s="41">
        <v>1</v>
      </c>
      <c r="X273" s="37"/>
      <c r="Y273" s="41">
        <v>1</v>
      </c>
      <c r="Z273" s="37"/>
      <c r="AA273" s="52"/>
      <c r="AB273" s="67"/>
      <c r="AC273" s="55"/>
      <c r="AD273" s="56"/>
      <c r="AE273" s="57"/>
      <c r="AF273" s="36"/>
    </row>
    <row r="274" spans="2:32" s="32" customFormat="1" x14ac:dyDescent="0.3">
      <c r="B274" s="36"/>
      <c r="C274" s="36"/>
      <c r="D274" s="434"/>
      <c r="E274" s="33"/>
      <c r="F274" s="34"/>
      <c r="G274" s="34"/>
      <c r="H274" s="34"/>
      <c r="I274" s="34"/>
      <c r="J274" s="36"/>
      <c r="K274" s="374" t="s">
        <v>295</v>
      </c>
      <c r="L274" s="375" t="s">
        <v>291</v>
      </c>
      <c r="M274" s="384" t="s">
        <v>1409</v>
      </c>
      <c r="N274" s="36"/>
      <c r="O274" s="36"/>
      <c r="P274" s="53"/>
      <c r="Q274" s="36"/>
      <c r="R274" s="37"/>
      <c r="S274" s="36"/>
      <c r="T274" s="37"/>
      <c r="U274" s="36"/>
      <c r="V274" s="37"/>
      <c r="W274" s="36"/>
      <c r="X274" s="37"/>
      <c r="Y274" s="36"/>
      <c r="Z274" s="37"/>
      <c r="AA274" s="52"/>
      <c r="AB274" s="67"/>
      <c r="AC274" s="55"/>
      <c r="AD274" s="56"/>
      <c r="AE274" s="57"/>
      <c r="AF274" s="36"/>
    </row>
    <row r="275" spans="2:32" s="32" customFormat="1" ht="42.75" x14ac:dyDescent="0.25">
      <c r="B275" s="92"/>
      <c r="C275" s="92"/>
      <c r="D275" s="439"/>
      <c r="E275" s="91"/>
      <c r="F275" s="376"/>
      <c r="G275" s="376"/>
      <c r="H275" s="376"/>
      <c r="I275" s="376"/>
      <c r="J275" s="92"/>
      <c r="K275" s="377" t="s">
        <v>297</v>
      </c>
      <c r="L275" s="378" t="s">
        <v>291</v>
      </c>
      <c r="M275" s="455" t="s">
        <v>1410</v>
      </c>
      <c r="N275" s="92"/>
      <c r="O275" s="92"/>
      <c r="P275" s="381"/>
      <c r="Q275" s="92"/>
      <c r="R275" s="101"/>
      <c r="S275" s="92"/>
      <c r="T275" s="101"/>
      <c r="U275" s="92"/>
      <c r="V275" s="101"/>
      <c r="W275" s="92"/>
      <c r="X275" s="101"/>
      <c r="Y275" s="92"/>
      <c r="Z275" s="101"/>
      <c r="AA275" s="95"/>
      <c r="AB275" s="406"/>
      <c r="AC275" s="389"/>
      <c r="AD275" s="390"/>
      <c r="AE275" s="388"/>
      <c r="AF275" s="92"/>
    </row>
    <row r="276" spans="2:32" s="32" customFormat="1" ht="15" x14ac:dyDescent="0.25">
      <c r="B276" s="36"/>
      <c r="C276" s="36"/>
      <c r="D276" s="434"/>
      <c r="E276" s="33"/>
      <c r="F276" s="34"/>
      <c r="G276" s="34"/>
      <c r="H276" s="34"/>
      <c r="I276" s="34"/>
      <c r="J276" s="36"/>
      <c r="K276" s="46"/>
      <c r="L276" s="46"/>
      <c r="M276" s="362"/>
      <c r="N276" s="36"/>
      <c r="O276" s="36"/>
      <c r="P276" s="53"/>
      <c r="Q276" s="36"/>
      <c r="R276" s="37"/>
      <c r="S276" s="36"/>
      <c r="T276" s="37"/>
      <c r="U276" s="36"/>
      <c r="V276" s="37"/>
      <c r="W276" s="36"/>
      <c r="X276" s="37"/>
      <c r="Y276" s="36"/>
      <c r="Z276" s="37"/>
      <c r="AA276" s="52"/>
      <c r="AB276" s="67"/>
      <c r="AC276" s="55"/>
      <c r="AD276" s="56"/>
      <c r="AE276" s="57"/>
      <c r="AF276" s="36"/>
    </row>
    <row r="277" spans="2:32" s="32" customFormat="1" ht="28.5" x14ac:dyDescent="0.25">
      <c r="B277" s="36"/>
      <c r="C277" s="36"/>
      <c r="D277" s="434"/>
      <c r="E277" s="33">
        <v>1</v>
      </c>
      <c r="F277" s="34">
        <v>1</v>
      </c>
      <c r="G277" s="34">
        <v>1</v>
      </c>
      <c r="H277" s="34">
        <v>7</v>
      </c>
      <c r="I277" s="34">
        <v>4</v>
      </c>
      <c r="J277" s="36" t="s">
        <v>129</v>
      </c>
      <c r="K277" s="374" t="s">
        <v>290</v>
      </c>
      <c r="L277" s="375" t="s">
        <v>291</v>
      </c>
      <c r="M277" s="375" t="s">
        <v>292</v>
      </c>
      <c r="N277" s="36" t="s">
        <v>301</v>
      </c>
      <c r="O277" s="36" t="s">
        <v>301</v>
      </c>
      <c r="P277" s="53">
        <v>169955000</v>
      </c>
      <c r="Q277" s="36" t="s">
        <v>301</v>
      </c>
      <c r="R277" s="431">
        <f>P277+(P277*10%)</f>
        <v>186950500</v>
      </c>
      <c r="S277" s="36" t="s">
        <v>301</v>
      </c>
      <c r="T277" s="431">
        <f>R277+(R277*10%)</f>
        <v>205645550</v>
      </c>
      <c r="U277" s="36" t="s">
        <v>301</v>
      </c>
      <c r="V277" s="431">
        <f>T277+(T277*10%)</f>
        <v>226210105</v>
      </c>
      <c r="W277" s="36" t="s">
        <v>301</v>
      </c>
      <c r="X277" s="431">
        <f>V277+(V277*10%)</f>
        <v>248831115.5</v>
      </c>
      <c r="Y277" s="36" t="s">
        <v>301</v>
      </c>
      <c r="Z277" s="431">
        <f>X277+V277+T277+R277+P277</f>
        <v>1037592270.5</v>
      </c>
      <c r="AA277" s="52" t="s">
        <v>66</v>
      </c>
      <c r="AB277" s="53"/>
      <c r="AC277" s="50"/>
      <c r="AD277" s="51"/>
      <c r="AE277" s="52"/>
      <c r="AF277" s="36" t="s">
        <v>120</v>
      </c>
    </row>
    <row r="278" spans="2:32" s="32" customFormat="1" x14ac:dyDescent="0.3">
      <c r="B278" s="36"/>
      <c r="C278" s="36"/>
      <c r="D278" s="434"/>
      <c r="E278" s="33"/>
      <c r="F278" s="34"/>
      <c r="G278" s="34"/>
      <c r="H278" s="34"/>
      <c r="I278" s="34"/>
      <c r="J278" s="36"/>
      <c r="K278" s="374" t="s">
        <v>293</v>
      </c>
      <c r="L278" s="375" t="s">
        <v>291</v>
      </c>
      <c r="M278" s="362" t="s">
        <v>1236</v>
      </c>
      <c r="N278" s="36" t="s">
        <v>419</v>
      </c>
      <c r="O278" s="36" t="s">
        <v>419</v>
      </c>
      <c r="P278" s="54"/>
      <c r="Q278" s="36" t="s">
        <v>419</v>
      </c>
      <c r="R278" s="37"/>
      <c r="S278" s="36" t="s">
        <v>419</v>
      </c>
      <c r="T278" s="37"/>
      <c r="U278" s="36" t="s">
        <v>419</v>
      </c>
      <c r="V278" s="37"/>
      <c r="W278" s="36" t="s">
        <v>419</v>
      </c>
      <c r="X278" s="37"/>
      <c r="Y278" s="36" t="s">
        <v>419</v>
      </c>
      <c r="Z278" s="37"/>
      <c r="AA278" s="57"/>
      <c r="AB278" s="54"/>
      <c r="AC278" s="55"/>
      <c r="AD278" s="56"/>
      <c r="AE278" s="57"/>
      <c r="AF278" s="36"/>
    </row>
    <row r="279" spans="2:32" s="32" customFormat="1" ht="28.5" x14ac:dyDescent="0.3">
      <c r="B279" s="36"/>
      <c r="C279" s="36"/>
      <c r="D279" s="434"/>
      <c r="E279" s="33"/>
      <c r="F279" s="34"/>
      <c r="G279" s="34"/>
      <c r="H279" s="34"/>
      <c r="I279" s="34"/>
      <c r="J279" s="36"/>
      <c r="K279" s="374" t="s">
        <v>294</v>
      </c>
      <c r="L279" s="375" t="s">
        <v>291</v>
      </c>
      <c r="M279" s="362" t="s">
        <v>1411</v>
      </c>
      <c r="N279" s="41">
        <v>1</v>
      </c>
      <c r="O279" s="41">
        <v>1</v>
      </c>
      <c r="P279" s="54"/>
      <c r="Q279" s="41">
        <v>1</v>
      </c>
      <c r="R279" s="37"/>
      <c r="S279" s="41">
        <v>1</v>
      </c>
      <c r="T279" s="37"/>
      <c r="U279" s="41">
        <v>1</v>
      </c>
      <c r="V279" s="37"/>
      <c r="W279" s="41">
        <v>1</v>
      </c>
      <c r="X279" s="37"/>
      <c r="Y279" s="41">
        <v>1</v>
      </c>
      <c r="Z279" s="37"/>
      <c r="AA279" s="57"/>
      <c r="AB279" s="54"/>
      <c r="AC279" s="55"/>
      <c r="AD279" s="56"/>
      <c r="AE279" s="57"/>
      <c r="AF279" s="36"/>
    </row>
    <row r="280" spans="2:32" s="32" customFormat="1" x14ac:dyDescent="0.3">
      <c r="B280" s="36"/>
      <c r="C280" s="36"/>
      <c r="D280" s="434"/>
      <c r="E280" s="33"/>
      <c r="F280" s="34"/>
      <c r="G280" s="34"/>
      <c r="H280" s="34"/>
      <c r="I280" s="34"/>
      <c r="J280" s="36"/>
      <c r="K280" s="374" t="s">
        <v>295</v>
      </c>
      <c r="L280" s="375" t="s">
        <v>291</v>
      </c>
      <c r="M280" s="384" t="s">
        <v>1412</v>
      </c>
      <c r="N280" s="36"/>
      <c r="O280" s="36"/>
      <c r="P280" s="54"/>
      <c r="Q280" s="36"/>
      <c r="R280" s="37"/>
      <c r="S280" s="36"/>
      <c r="T280" s="37"/>
      <c r="U280" s="36"/>
      <c r="V280" s="37"/>
      <c r="W280" s="36"/>
      <c r="X280" s="37"/>
      <c r="Y280" s="36"/>
      <c r="Z280" s="37"/>
      <c r="AA280" s="57"/>
      <c r="AB280" s="54"/>
      <c r="AC280" s="55"/>
      <c r="AD280" s="56"/>
      <c r="AE280" s="57"/>
      <c r="AF280" s="36"/>
    </row>
    <row r="281" spans="2:32" s="32" customFormat="1" ht="28.5" x14ac:dyDescent="0.3">
      <c r="B281" s="92"/>
      <c r="C281" s="92"/>
      <c r="D281" s="439"/>
      <c r="E281" s="91"/>
      <c r="F281" s="376"/>
      <c r="G281" s="376"/>
      <c r="H281" s="376"/>
      <c r="I281" s="376"/>
      <c r="J281" s="92"/>
      <c r="K281" s="377" t="s">
        <v>297</v>
      </c>
      <c r="L281" s="378" t="s">
        <v>291</v>
      </c>
      <c r="M281" s="455" t="s">
        <v>1413</v>
      </c>
      <c r="N281" s="92"/>
      <c r="O281" s="92"/>
      <c r="P281" s="387"/>
      <c r="Q281" s="92"/>
      <c r="R281" s="101"/>
      <c r="S281" s="92"/>
      <c r="T281" s="101"/>
      <c r="U281" s="92"/>
      <c r="V281" s="101"/>
      <c r="W281" s="92"/>
      <c r="X281" s="101"/>
      <c r="Y281" s="92"/>
      <c r="Z281" s="101"/>
      <c r="AA281" s="388"/>
      <c r="AB281" s="387"/>
      <c r="AC281" s="389"/>
      <c r="AD281" s="390"/>
      <c r="AE281" s="388"/>
      <c r="AF281" s="92"/>
    </row>
    <row r="282" spans="2:32" s="32" customFormat="1" x14ac:dyDescent="0.3">
      <c r="B282" s="36"/>
      <c r="C282" s="36"/>
      <c r="D282" s="434"/>
      <c r="E282" s="33"/>
      <c r="F282" s="34"/>
      <c r="G282" s="34"/>
      <c r="H282" s="34"/>
      <c r="I282" s="34"/>
      <c r="J282" s="36"/>
      <c r="K282" s="46"/>
      <c r="L282" s="46"/>
      <c r="M282" s="362"/>
      <c r="N282" s="36"/>
      <c r="O282" s="36"/>
      <c r="P282" s="54"/>
      <c r="Q282" s="36"/>
      <c r="R282" s="37"/>
      <c r="S282" s="36"/>
      <c r="T282" s="37"/>
      <c r="U282" s="36"/>
      <c r="V282" s="37"/>
      <c r="W282" s="36"/>
      <c r="X282" s="37"/>
      <c r="Y282" s="36"/>
      <c r="Z282" s="37"/>
      <c r="AA282" s="57"/>
      <c r="AB282" s="54"/>
      <c r="AC282" s="55"/>
      <c r="AD282" s="56"/>
      <c r="AE282" s="57"/>
      <c r="AF282" s="36"/>
    </row>
    <row r="283" spans="2:32" s="32" customFormat="1" ht="28.5" x14ac:dyDescent="0.25">
      <c r="B283" s="36"/>
      <c r="C283" s="36"/>
      <c r="D283" s="434"/>
      <c r="E283" s="26"/>
      <c r="F283" s="26"/>
      <c r="G283" s="26"/>
      <c r="H283" s="26"/>
      <c r="I283" s="26"/>
      <c r="J283" s="27" t="s">
        <v>130</v>
      </c>
      <c r="K283" s="39"/>
      <c r="L283" s="39"/>
      <c r="M283" s="362"/>
      <c r="N283" s="36"/>
      <c r="O283" s="36"/>
      <c r="P283" s="68"/>
      <c r="Q283" s="36"/>
      <c r="R283" s="37"/>
      <c r="S283" s="36"/>
      <c r="T283" s="37"/>
      <c r="U283" s="36"/>
      <c r="V283" s="37"/>
      <c r="W283" s="36"/>
      <c r="X283" s="37"/>
      <c r="Y283" s="36"/>
      <c r="Z283" s="37"/>
      <c r="AA283" s="52"/>
      <c r="AB283" s="53">
        <v>97000</v>
      </c>
      <c r="AC283" s="50">
        <f>AB283+(AB283*5%)</f>
        <v>101850</v>
      </c>
      <c r="AD283" s="51" t="s">
        <v>66</v>
      </c>
      <c r="AE283" s="52" t="s">
        <v>81</v>
      </c>
      <c r="AF283" s="27"/>
    </row>
    <row r="284" spans="2:32" s="32" customFormat="1" ht="15" x14ac:dyDescent="0.25">
      <c r="B284" s="36"/>
      <c r="C284" s="36"/>
      <c r="D284" s="434"/>
      <c r="E284" s="26">
        <v>1</v>
      </c>
      <c r="F284" s="69" t="s">
        <v>131</v>
      </c>
      <c r="G284" s="69" t="s">
        <v>131</v>
      </c>
      <c r="H284" s="26"/>
      <c r="I284" s="26"/>
      <c r="J284" s="27" t="s">
        <v>132</v>
      </c>
      <c r="K284" s="39"/>
      <c r="L284" s="39"/>
      <c r="M284" s="361"/>
      <c r="N284" s="27"/>
      <c r="O284" s="27"/>
      <c r="P284" s="68"/>
      <c r="Q284" s="27"/>
      <c r="R284" s="37"/>
      <c r="S284" s="27"/>
      <c r="T284" s="37"/>
      <c r="U284" s="27"/>
      <c r="V284" s="37"/>
      <c r="W284" s="27"/>
      <c r="X284" s="37"/>
      <c r="Y284" s="27"/>
      <c r="Z284" s="37"/>
      <c r="AA284" s="52"/>
      <c r="AB284" s="53"/>
      <c r="AC284" s="50"/>
      <c r="AD284" s="51"/>
      <c r="AE284" s="52"/>
      <c r="AF284" s="27"/>
    </row>
    <row r="285" spans="2:32" s="32" customFormat="1" ht="28.5" x14ac:dyDescent="0.25">
      <c r="B285" s="36"/>
      <c r="C285" s="36"/>
      <c r="D285" s="434"/>
      <c r="E285" s="33"/>
      <c r="F285" s="70"/>
      <c r="G285" s="70"/>
      <c r="H285" s="33"/>
      <c r="I285" s="33"/>
      <c r="J285" s="36"/>
      <c r="K285" s="46"/>
      <c r="L285" s="46"/>
      <c r="M285" s="361"/>
      <c r="N285" s="27"/>
      <c r="O285" s="27"/>
      <c r="P285" s="71"/>
      <c r="Q285" s="27"/>
      <c r="R285" s="37"/>
      <c r="S285" s="27"/>
      <c r="T285" s="37"/>
      <c r="U285" s="27"/>
      <c r="V285" s="37"/>
      <c r="W285" s="27"/>
      <c r="X285" s="37"/>
      <c r="Y285" s="27"/>
      <c r="Z285" s="37"/>
      <c r="AA285" s="52"/>
      <c r="AB285" s="53">
        <v>200000</v>
      </c>
      <c r="AC285" s="50">
        <f>AB285+(AB285*5%)</f>
        <v>210000</v>
      </c>
      <c r="AD285" s="51" t="s">
        <v>66</v>
      </c>
      <c r="AE285" s="52" t="s">
        <v>81</v>
      </c>
      <c r="AF285" s="36"/>
    </row>
    <row r="286" spans="2:32" s="32" customFormat="1" x14ac:dyDescent="0.3">
      <c r="B286" s="36"/>
      <c r="C286" s="36"/>
      <c r="D286" s="434"/>
      <c r="E286" s="26"/>
      <c r="F286" s="26"/>
      <c r="G286" s="26"/>
      <c r="H286" s="26"/>
      <c r="I286" s="26"/>
      <c r="J286" s="27" t="s">
        <v>60</v>
      </c>
      <c r="K286" s="39"/>
      <c r="L286" s="39"/>
      <c r="M286" s="362"/>
      <c r="N286" s="36"/>
      <c r="O286" s="36"/>
      <c r="P286" s="68"/>
      <c r="Q286" s="36"/>
      <c r="R286" s="37"/>
      <c r="S286" s="36"/>
      <c r="T286" s="37"/>
      <c r="U286" s="36"/>
      <c r="V286" s="37"/>
      <c r="W286" s="36"/>
      <c r="X286" s="37"/>
      <c r="Y286" s="36"/>
      <c r="Z286" s="37"/>
      <c r="AA286" s="52"/>
      <c r="AB286" s="54"/>
      <c r="AC286" s="55"/>
      <c r="AD286" s="56"/>
      <c r="AE286" s="57"/>
      <c r="AF286" s="27"/>
    </row>
    <row r="287" spans="2:32" s="32" customFormat="1" ht="108" x14ac:dyDescent="0.25">
      <c r="B287" s="504" t="s">
        <v>1560</v>
      </c>
      <c r="C287" s="456" t="s">
        <v>1561</v>
      </c>
      <c r="D287" s="27" t="s">
        <v>1062</v>
      </c>
      <c r="E287" s="26">
        <v>1</v>
      </c>
      <c r="F287" s="69" t="s">
        <v>131</v>
      </c>
      <c r="G287" s="69" t="s">
        <v>131</v>
      </c>
      <c r="H287" s="26">
        <v>15</v>
      </c>
      <c r="I287" s="26"/>
      <c r="J287" s="27" t="s">
        <v>133</v>
      </c>
      <c r="K287" s="496" t="s">
        <v>1237</v>
      </c>
      <c r="L287" s="497"/>
      <c r="M287" s="498"/>
      <c r="N287" s="372">
        <v>1</v>
      </c>
      <c r="O287" s="372">
        <v>1</v>
      </c>
      <c r="P287" s="42">
        <f>SUM(P289:P358)</f>
        <v>4802214850</v>
      </c>
      <c r="Q287" s="372">
        <v>1</v>
      </c>
      <c r="R287" s="42">
        <f>SUM(R289:R358)</f>
        <v>5282436335</v>
      </c>
      <c r="S287" s="372">
        <v>1</v>
      </c>
      <c r="T287" s="42">
        <f>SUM(T289:T358)</f>
        <v>5810679968.5</v>
      </c>
      <c r="U287" s="372">
        <v>1</v>
      </c>
      <c r="V287" s="42">
        <f>SUM(V289:V358)</f>
        <v>6391747965.3499994</v>
      </c>
      <c r="W287" s="372">
        <v>1</v>
      </c>
      <c r="X287" s="42">
        <f>SUM(X289:X358)</f>
        <v>7030922761.8850012</v>
      </c>
      <c r="Y287" s="372">
        <v>1</v>
      </c>
      <c r="Z287" s="430">
        <f>X287+V287+T287+R287+P287</f>
        <v>29318001880.735001</v>
      </c>
      <c r="AA287" s="75"/>
      <c r="AB287" s="68"/>
      <c r="AC287" s="45"/>
      <c r="AD287" s="83"/>
      <c r="AE287" s="75"/>
      <c r="AF287" s="27" t="s">
        <v>134</v>
      </c>
    </row>
    <row r="288" spans="2:32" s="32" customFormat="1" ht="15" x14ac:dyDescent="0.25">
      <c r="B288" s="504"/>
      <c r="C288" s="456"/>
      <c r="D288" s="434"/>
      <c r="E288" s="26"/>
      <c r="F288" s="26"/>
      <c r="G288" s="26"/>
      <c r="H288" s="26"/>
      <c r="I288" s="26"/>
      <c r="J288" s="27" t="s">
        <v>63</v>
      </c>
      <c r="K288" s="35"/>
      <c r="L288" s="39"/>
      <c r="M288" s="362"/>
      <c r="N288" s="372"/>
      <c r="O288" s="372"/>
      <c r="P288" s="68"/>
      <c r="Q288" s="372"/>
      <c r="R288" s="27"/>
      <c r="S288" s="372"/>
      <c r="T288" s="27"/>
      <c r="U288" s="372"/>
      <c r="V288" s="27"/>
      <c r="W288" s="372"/>
      <c r="X288" s="27"/>
      <c r="Y288" s="372"/>
      <c r="Z288" s="35"/>
      <c r="AA288" s="52"/>
      <c r="AB288" s="68"/>
      <c r="AC288" s="55"/>
      <c r="AD288" s="51"/>
      <c r="AE288" s="52"/>
      <c r="AF288" s="36"/>
    </row>
    <row r="289" spans="2:32" ht="42.75" x14ac:dyDescent="0.3">
      <c r="B289" s="504"/>
      <c r="C289" s="456"/>
      <c r="E289" s="33">
        <v>1</v>
      </c>
      <c r="F289" s="70" t="s">
        <v>131</v>
      </c>
      <c r="G289" s="70" t="s">
        <v>131</v>
      </c>
      <c r="H289" s="33">
        <v>15</v>
      </c>
      <c r="I289" s="34">
        <v>1</v>
      </c>
      <c r="J289" s="36" t="s">
        <v>135</v>
      </c>
      <c r="K289" s="374" t="s">
        <v>290</v>
      </c>
      <c r="L289" s="375" t="s">
        <v>291</v>
      </c>
      <c r="M289" s="375" t="s">
        <v>292</v>
      </c>
      <c r="N289" s="36" t="s">
        <v>301</v>
      </c>
      <c r="O289" s="36" t="s">
        <v>301</v>
      </c>
      <c r="P289" s="50">
        <v>896790000</v>
      </c>
      <c r="Q289" s="36" t="s">
        <v>301</v>
      </c>
      <c r="R289" s="431">
        <f>P289+(P289*10%)</f>
        <v>986469000</v>
      </c>
      <c r="S289" s="36" t="s">
        <v>301</v>
      </c>
      <c r="T289" s="431">
        <f>R289+(R289*10%)</f>
        <v>1085115900</v>
      </c>
      <c r="U289" s="36" t="s">
        <v>301</v>
      </c>
      <c r="V289" s="431">
        <f>T289+(T289*10%)</f>
        <v>1193627490</v>
      </c>
      <c r="W289" s="36" t="s">
        <v>301</v>
      </c>
      <c r="X289" s="431">
        <f>V289+(V289*10%)</f>
        <v>1312990239</v>
      </c>
      <c r="Y289" s="36" t="s">
        <v>301</v>
      </c>
      <c r="Z289" s="431">
        <f>X289+V289+T289+R289+P289</f>
        <v>5474992629</v>
      </c>
      <c r="AA289" s="52" t="s">
        <v>66</v>
      </c>
      <c r="AB289" s="71"/>
      <c r="AC289" s="55"/>
      <c r="AD289" s="51"/>
      <c r="AE289" s="52"/>
      <c r="AF289" s="36" t="s">
        <v>136</v>
      </c>
    </row>
    <row r="290" spans="2:32" s="32" customFormat="1" ht="85.5" x14ac:dyDescent="0.25">
      <c r="B290" s="504"/>
      <c r="C290" s="456"/>
      <c r="D290" s="434"/>
      <c r="E290" s="33"/>
      <c r="F290" s="70"/>
      <c r="G290" s="70"/>
      <c r="H290" s="33"/>
      <c r="I290" s="34"/>
      <c r="J290" s="36"/>
      <c r="K290" s="374" t="s">
        <v>293</v>
      </c>
      <c r="L290" s="375" t="s">
        <v>291</v>
      </c>
      <c r="M290" s="362" t="s">
        <v>1238</v>
      </c>
      <c r="N290" s="36" t="s">
        <v>1113</v>
      </c>
      <c r="O290" s="36" t="s">
        <v>1113</v>
      </c>
      <c r="P290" s="50"/>
      <c r="Q290" s="36" t="s">
        <v>1113</v>
      </c>
      <c r="R290" s="27"/>
      <c r="S290" s="36" t="s">
        <v>1113</v>
      </c>
      <c r="T290" s="27"/>
      <c r="U290" s="36" t="s">
        <v>1113</v>
      </c>
      <c r="V290" s="27"/>
      <c r="W290" s="36" t="s">
        <v>1113</v>
      </c>
      <c r="X290" s="27"/>
      <c r="Y290" s="36" t="s">
        <v>1113</v>
      </c>
      <c r="Z290" s="35"/>
      <c r="AA290" s="52"/>
      <c r="AB290" s="68"/>
      <c r="AC290" s="55"/>
      <c r="AD290" s="51"/>
      <c r="AE290" s="52"/>
      <c r="AF290" s="36"/>
    </row>
    <row r="291" spans="2:32" s="32" customFormat="1" ht="28.5" x14ac:dyDescent="0.25">
      <c r="B291" s="453"/>
      <c r="C291" s="453"/>
      <c r="D291" s="434"/>
      <c r="E291" s="33"/>
      <c r="F291" s="70"/>
      <c r="G291" s="70"/>
      <c r="H291" s="33"/>
      <c r="I291" s="34"/>
      <c r="J291" s="36"/>
      <c r="K291" s="37"/>
      <c r="L291" s="375" t="s">
        <v>291</v>
      </c>
      <c r="M291" s="363" t="s">
        <v>1239</v>
      </c>
      <c r="N291" s="36" t="s">
        <v>137</v>
      </c>
      <c r="O291" s="36" t="s">
        <v>137</v>
      </c>
      <c r="P291" s="50"/>
      <c r="Q291" s="36" t="s">
        <v>137</v>
      </c>
      <c r="R291" s="27"/>
      <c r="S291" s="36" t="s">
        <v>137</v>
      </c>
      <c r="T291" s="27"/>
      <c r="U291" s="36" t="s">
        <v>137</v>
      </c>
      <c r="V291" s="27"/>
      <c r="W291" s="36" t="s">
        <v>137</v>
      </c>
      <c r="X291" s="27"/>
      <c r="Y291" s="36" t="s">
        <v>137</v>
      </c>
      <c r="Z291" s="35"/>
      <c r="AA291" s="52"/>
      <c r="AB291" s="68"/>
      <c r="AC291" s="55"/>
      <c r="AD291" s="51"/>
      <c r="AE291" s="52"/>
      <c r="AF291" s="36"/>
    </row>
    <row r="292" spans="2:32" s="72" customFormat="1" ht="28.5" x14ac:dyDescent="0.3">
      <c r="B292" s="453"/>
      <c r="C292" s="453"/>
      <c r="D292" s="433"/>
      <c r="E292" s="33"/>
      <c r="F292" s="70"/>
      <c r="G292" s="70"/>
      <c r="H292" s="33"/>
      <c r="I292" s="34"/>
      <c r="J292" s="36"/>
      <c r="K292" s="37"/>
      <c r="L292" s="375" t="s">
        <v>291</v>
      </c>
      <c r="M292" s="363" t="s">
        <v>1240</v>
      </c>
      <c r="N292" s="36" t="s">
        <v>1114</v>
      </c>
      <c r="O292" s="36" t="s">
        <v>1114</v>
      </c>
      <c r="P292" s="50"/>
      <c r="Q292" s="36" t="s">
        <v>1114</v>
      </c>
      <c r="R292" s="36"/>
      <c r="S292" s="36" t="s">
        <v>1114</v>
      </c>
      <c r="T292" s="36"/>
      <c r="U292" s="36" t="s">
        <v>1114</v>
      </c>
      <c r="V292" s="36"/>
      <c r="W292" s="36" t="s">
        <v>1114</v>
      </c>
      <c r="X292" s="36"/>
      <c r="Y292" s="36" t="s">
        <v>1114</v>
      </c>
      <c r="Z292" s="37"/>
      <c r="AA292" s="52"/>
      <c r="AB292" s="50"/>
      <c r="AC292" s="50"/>
      <c r="AD292" s="51"/>
      <c r="AE292" s="52"/>
      <c r="AF292" s="36"/>
    </row>
    <row r="293" spans="2:32" s="72" customFormat="1" x14ac:dyDescent="0.3">
      <c r="B293" s="453"/>
      <c r="C293" s="453"/>
      <c r="D293" s="433"/>
      <c r="E293" s="33"/>
      <c r="F293" s="33"/>
      <c r="G293" s="33"/>
      <c r="H293" s="33"/>
      <c r="I293" s="33"/>
      <c r="J293" s="36"/>
      <c r="K293" s="37"/>
      <c r="L293" s="375" t="s">
        <v>291</v>
      </c>
      <c r="M293" s="363" t="s">
        <v>1241</v>
      </c>
      <c r="N293" s="36" t="s">
        <v>137</v>
      </c>
      <c r="O293" s="36" t="s">
        <v>137</v>
      </c>
      <c r="P293" s="50"/>
      <c r="Q293" s="36" t="s">
        <v>137</v>
      </c>
      <c r="R293" s="36"/>
      <c r="S293" s="36" t="s">
        <v>137</v>
      </c>
      <c r="T293" s="36"/>
      <c r="U293" s="36" t="s">
        <v>137</v>
      </c>
      <c r="V293" s="36"/>
      <c r="W293" s="36" t="s">
        <v>137</v>
      </c>
      <c r="X293" s="36"/>
      <c r="Y293" s="36" t="s">
        <v>137</v>
      </c>
      <c r="Z293" s="37"/>
      <c r="AA293" s="52"/>
      <c r="AB293" s="50"/>
      <c r="AC293" s="50"/>
      <c r="AD293" s="51"/>
      <c r="AE293" s="52"/>
      <c r="AF293" s="36"/>
    </row>
    <row r="294" spans="2:32" s="72" customFormat="1" ht="28.5" x14ac:dyDescent="0.3">
      <c r="B294" s="453"/>
      <c r="C294" s="453"/>
      <c r="D294" s="433"/>
      <c r="E294" s="33"/>
      <c r="F294" s="33"/>
      <c r="G294" s="33"/>
      <c r="H294" s="33"/>
      <c r="I294" s="33"/>
      <c r="J294" s="36"/>
      <c r="K294" s="374" t="s">
        <v>294</v>
      </c>
      <c r="L294" s="375" t="s">
        <v>291</v>
      </c>
      <c r="M294" s="362" t="s">
        <v>1414</v>
      </c>
      <c r="N294" s="41">
        <v>1</v>
      </c>
      <c r="O294" s="41">
        <v>1</v>
      </c>
      <c r="P294" s="50"/>
      <c r="Q294" s="41">
        <v>1</v>
      </c>
      <c r="R294" s="36"/>
      <c r="S294" s="41">
        <v>1</v>
      </c>
      <c r="T294" s="36"/>
      <c r="U294" s="41">
        <v>1</v>
      </c>
      <c r="V294" s="36"/>
      <c r="W294" s="41">
        <v>1</v>
      </c>
      <c r="X294" s="36"/>
      <c r="Y294" s="41">
        <v>1</v>
      </c>
      <c r="Z294" s="37"/>
      <c r="AA294" s="52"/>
      <c r="AB294" s="50"/>
      <c r="AC294" s="50"/>
      <c r="AD294" s="51"/>
      <c r="AE294" s="52"/>
      <c r="AF294" s="36"/>
    </row>
    <row r="295" spans="2:32" s="72" customFormat="1" ht="28.5" x14ac:dyDescent="0.3">
      <c r="B295" s="453"/>
      <c r="C295" s="453"/>
      <c r="D295" s="433"/>
      <c r="E295" s="33"/>
      <c r="F295" s="33"/>
      <c r="G295" s="33"/>
      <c r="H295" s="33"/>
      <c r="I295" s="33"/>
      <c r="J295" s="36"/>
      <c r="K295" s="374" t="s">
        <v>295</v>
      </c>
      <c r="L295" s="375" t="s">
        <v>291</v>
      </c>
      <c r="M295" s="400" t="s">
        <v>500</v>
      </c>
      <c r="N295" s="36"/>
      <c r="O295" s="36"/>
      <c r="P295" s="50"/>
      <c r="Q295" s="36"/>
      <c r="R295" s="36"/>
      <c r="S295" s="36"/>
      <c r="T295" s="36"/>
      <c r="U295" s="36"/>
      <c r="V295" s="36"/>
      <c r="W295" s="36"/>
      <c r="X295" s="36"/>
      <c r="Y295" s="36"/>
      <c r="Z295" s="37"/>
      <c r="AA295" s="52"/>
      <c r="AB295" s="50"/>
      <c r="AC295" s="50"/>
      <c r="AD295" s="51"/>
      <c r="AE295" s="52"/>
      <c r="AF295" s="36"/>
    </row>
    <row r="296" spans="2:32" s="72" customFormat="1" x14ac:dyDescent="0.3">
      <c r="B296" s="457"/>
      <c r="C296" s="457"/>
      <c r="D296" s="445"/>
      <c r="E296" s="91"/>
      <c r="F296" s="91"/>
      <c r="G296" s="91"/>
      <c r="H296" s="91"/>
      <c r="I296" s="91"/>
      <c r="J296" s="92"/>
      <c r="K296" s="377" t="s">
        <v>297</v>
      </c>
      <c r="L296" s="378" t="s">
        <v>291</v>
      </c>
      <c r="M296" s="385" t="s">
        <v>501</v>
      </c>
      <c r="N296" s="92"/>
      <c r="O296" s="92"/>
      <c r="P296" s="93"/>
      <c r="Q296" s="92"/>
      <c r="R296" s="92"/>
      <c r="S296" s="92"/>
      <c r="T296" s="92"/>
      <c r="U296" s="92"/>
      <c r="V296" s="92"/>
      <c r="W296" s="92"/>
      <c r="X296" s="92"/>
      <c r="Y296" s="92"/>
      <c r="Z296" s="101"/>
      <c r="AA296" s="95"/>
      <c r="AB296" s="93"/>
      <c r="AC296" s="93"/>
      <c r="AD296" s="94"/>
      <c r="AE296" s="95"/>
      <c r="AF296" s="92"/>
    </row>
    <row r="297" spans="2:32" s="72" customFormat="1" x14ac:dyDescent="0.3">
      <c r="B297" s="453"/>
      <c r="C297" s="453"/>
      <c r="D297" s="433"/>
      <c r="E297" s="33"/>
      <c r="F297" s="33"/>
      <c r="G297" s="33"/>
      <c r="H297" s="33"/>
      <c r="I297" s="33"/>
      <c r="J297" s="36"/>
      <c r="K297" s="37"/>
      <c r="L297" s="46"/>
      <c r="M297" s="363"/>
      <c r="N297" s="36"/>
      <c r="O297" s="36"/>
      <c r="P297" s="50"/>
      <c r="Q297" s="36"/>
      <c r="R297" s="36"/>
      <c r="S297" s="36"/>
      <c r="T297" s="36"/>
      <c r="U297" s="36"/>
      <c r="V297" s="36"/>
      <c r="W297" s="36"/>
      <c r="X297" s="36"/>
      <c r="Y297" s="36"/>
      <c r="Z297" s="37"/>
      <c r="AA297" s="52"/>
      <c r="AB297" s="50"/>
      <c r="AC297" s="50"/>
      <c r="AD297" s="51"/>
      <c r="AE297" s="52"/>
      <c r="AF297" s="36"/>
    </row>
    <row r="298" spans="2:32" s="72" customFormat="1" x14ac:dyDescent="0.3">
      <c r="B298" s="453"/>
      <c r="C298" s="453"/>
      <c r="D298" s="433"/>
      <c r="E298" s="33">
        <v>1</v>
      </c>
      <c r="F298" s="70" t="s">
        <v>131</v>
      </c>
      <c r="G298" s="70" t="s">
        <v>131</v>
      </c>
      <c r="H298" s="33">
        <v>15</v>
      </c>
      <c r="I298" s="34">
        <v>2</v>
      </c>
      <c r="J298" s="36" t="s">
        <v>138</v>
      </c>
      <c r="K298" s="374" t="s">
        <v>290</v>
      </c>
      <c r="L298" s="375" t="s">
        <v>291</v>
      </c>
      <c r="M298" s="375" t="s">
        <v>292</v>
      </c>
      <c r="N298" s="36" t="s">
        <v>301</v>
      </c>
      <c r="O298" s="36" t="s">
        <v>301</v>
      </c>
      <c r="P298" s="50">
        <v>16760000</v>
      </c>
      <c r="Q298" s="36" t="s">
        <v>301</v>
      </c>
      <c r="R298" s="431">
        <f>P298+(P298*10%)</f>
        <v>18436000</v>
      </c>
      <c r="S298" s="36" t="s">
        <v>301</v>
      </c>
      <c r="T298" s="431">
        <f>R298+(R298*10%)</f>
        <v>20279600</v>
      </c>
      <c r="U298" s="36" t="s">
        <v>301</v>
      </c>
      <c r="V298" s="431">
        <f>T298+(T298*10%)</f>
        <v>22307560</v>
      </c>
      <c r="W298" s="36" t="s">
        <v>301</v>
      </c>
      <c r="X298" s="431">
        <f>V298+(V298*10%)</f>
        <v>24538316</v>
      </c>
      <c r="Y298" s="36" t="s">
        <v>301</v>
      </c>
      <c r="Z298" s="431">
        <f>X298+V298+T298+R298+P298</f>
        <v>102321476</v>
      </c>
      <c r="AA298" s="52" t="s">
        <v>140</v>
      </c>
      <c r="AB298" s="50"/>
      <c r="AC298" s="50"/>
      <c r="AD298" s="51"/>
      <c r="AE298" s="52"/>
      <c r="AF298" s="36" t="s">
        <v>139</v>
      </c>
    </row>
    <row r="299" spans="2:32" s="72" customFormat="1" ht="28.5" x14ac:dyDescent="0.3">
      <c r="B299" s="453"/>
      <c r="C299" s="453"/>
      <c r="D299" s="433"/>
      <c r="E299" s="33"/>
      <c r="F299" s="33"/>
      <c r="G299" s="33"/>
      <c r="H299" s="33"/>
      <c r="I299" s="33"/>
      <c r="J299" s="36"/>
      <c r="K299" s="374" t="s">
        <v>293</v>
      </c>
      <c r="L299" s="375" t="s">
        <v>291</v>
      </c>
      <c r="M299" s="362" t="s">
        <v>1242</v>
      </c>
      <c r="N299" s="36" t="s">
        <v>1115</v>
      </c>
      <c r="O299" s="36" t="s">
        <v>1115</v>
      </c>
      <c r="P299" s="50"/>
      <c r="Q299" s="36" t="s">
        <v>1115</v>
      </c>
      <c r="R299" s="36"/>
      <c r="S299" s="36" t="s">
        <v>1115</v>
      </c>
      <c r="T299" s="36"/>
      <c r="U299" s="36" t="s">
        <v>1115</v>
      </c>
      <c r="V299" s="36"/>
      <c r="W299" s="36" t="s">
        <v>1115</v>
      </c>
      <c r="X299" s="36"/>
      <c r="Y299" s="36" t="s">
        <v>1115</v>
      </c>
      <c r="Z299" s="37"/>
      <c r="AA299" s="52"/>
      <c r="AB299" s="50"/>
      <c r="AC299" s="50"/>
      <c r="AD299" s="51"/>
      <c r="AE299" s="52"/>
      <c r="AF299" s="36"/>
    </row>
    <row r="300" spans="2:32" s="72" customFormat="1" ht="28.5" x14ac:dyDescent="0.3">
      <c r="B300" s="36"/>
      <c r="C300" s="36"/>
      <c r="D300" s="433"/>
      <c r="E300" s="33"/>
      <c r="F300" s="33"/>
      <c r="G300" s="33"/>
      <c r="H300" s="33"/>
      <c r="I300" s="33"/>
      <c r="J300" s="36"/>
      <c r="K300" s="37"/>
      <c r="L300" s="375" t="s">
        <v>291</v>
      </c>
      <c r="M300" s="362" t="s">
        <v>1243</v>
      </c>
      <c r="N300" s="36" t="s">
        <v>1116</v>
      </c>
      <c r="O300" s="36" t="s">
        <v>1116</v>
      </c>
      <c r="P300" s="50"/>
      <c r="Q300" s="36" t="s">
        <v>1116</v>
      </c>
      <c r="R300" s="36"/>
      <c r="S300" s="36" t="s">
        <v>1116</v>
      </c>
      <c r="T300" s="36"/>
      <c r="U300" s="36" t="s">
        <v>1116</v>
      </c>
      <c r="V300" s="36"/>
      <c r="W300" s="36" t="s">
        <v>1116</v>
      </c>
      <c r="X300" s="36"/>
      <c r="Y300" s="36" t="s">
        <v>1116</v>
      </c>
      <c r="Z300" s="37"/>
      <c r="AA300" s="52"/>
      <c r="AB300" s="50"/>
      <c r="AC300" s="50"/>
      <c r="AD300" s="51"/>
      <c r="AE300" s="52"/>
      <c r="AF300" s="36"/>
    </row>
    <row r="301" spans="2:32" s="72" customFormat="1" ht="28.5" x14ac:dyDescent="0.3">
      <c r="B301" s="36"/>
      <c r="C301" s="36"/>
      <c r="D301" s="433"/>
      <c r="E301" s="33"/>
      <c r="F301" s="33"/>
      <c r="G301" s="33"/>
      <c r="H301" s="33"/>
      <c r="I301" s="33"/>
      <c r="J301" s="36"/>
      <c r="K301" s="374" t="s">
        <v>294</v>
      </c>
      <c r="L301" s="375" t="s">
        <v>291</v>
      </c>
      <c r="M301" s="362" t="s">
        <v>1415</v>
      </c>
      <c r="N301" s="41">
        <v>1</v>
      </c>
      <c r="O301" s="41">
        <v>1</v>
      </c>
      <c r="P301" s="50"/>
      <c r="Q301" s="41">
        <v>1</v>
      </c>
      <c r="R301" s="36"/>
      <c r="S301" s="41">
        <v>1</v>
      </c>
      <c r="T301" s="36"/>
      <c r="U301" s="41">
        <v>1</v>
      </c>
      <c r="V301" s="36"/>
      <c r="W301" s="41">
        <v>1</v>
      </c>
      <c r="X301" s="36"/>
      <c r="Y301" s="41">
        <v>1</v>
      </c>
      <c r="Z301" s="37"/>
      <c r="AA301" s="52"/>
      <c r="AB301" s="50"/>
      <c r="AC301" s="50"/>
      <c r="AD301" s="51"/>
      <c r="AE301" s="52"/>
      <c r="AF301" s="36"/>
    </row>
    <row r="302" spans="2:32" s="72" customFormat="1" ht="28.5" x14ac:dyDescent="0.3">
      <c r="B302" s="36"/>
      <c r="C302" s="36"/>
      <c r="D302" s="433"/>
      <c r="E302" s="33"/>
      <c r="F302" s="33"/>
      <c r="G302" s="33"/>
      <c r="H302" s="33"/>
      <c r="I302" s="33"/>
      <c r="J302" s="36"/>
      <c r="K302" s="374" t="s">
        <v>295</v>
      </c>
      <c r="L302" s="375" t="s">
        <v>291</v>
      </c>
      <c r="M302" s="400" t="s">
        <v>1416</v>
      </c>
      <c r="N302" s="36"/>
      <c r="O302" s="36"/>
      <c r="P302" s="50"/>
      <c r="Q302" s="36"/>
      <c r="R302" s="36"/>
      <c r="S302" s="36"/>
      <c r="T302" s="36"/>
      <c r="U302" s="36"/>
      <c r="V302" s="36"/>
      <c r="W302" s="36"/>
      <c r="X302" s="36"/>
      <c r="Y302" s="36"/>
      <c r="Z302" s="37"/>
      <c r="AA302" s="52"/>
      <c r="AB302" s="50"/>
      <c r="AC302" s="50"/>
      <c r="AD302" s="51"/>
      <c r="AE302" s="52"/>
      <c r="AF302" s="36"/>
    </row>
    <row r="303" spans="2:32" s="72" customFormat="1" x14ac:dyDescent="0.3">
      <c r="B303" s="92"/>
      <c r="C303" s="92"/>
      <c r="D303" s="445"/>
      <c r="E303" s="91"/>
      <c r="F303" s="91"/>
      <c r="G303" s="91"/>
      <c r="H303" s="91"/>
      <c r="I303" s="91"/>
      <c r="J303" s="92"/>
      <c r="K303" s="377" t="s">
        <v>297</v>
      </c>
      <c r="L303" s="378" t="s">
        <v>291</v>
      </c>
      <c r="M303" s="385" t="s">
        <v>501</v>
      </c>
      <c r="N303" s="92"/>
      <c r="O303" s="92"/>
      <c r="P303" s="93"/>
      <c r="Q303" s="92"/>
      <c r="R303" s="92"/>
      <c r="S303" s="92"/>
      <c r="T303" s="92"/>
      <c r="U303" s="92"/>
      <c r="V303" s="92"/>
      <c r="W303" s="92"/>
      <c r="X303" s="92"/>
      <c r="Y303" s="92"/>
      <c r="Z303" s="101"/>
      <c r="AA303" s="95"/>
      <c r="AB303" s="93"/>
      <c r="AC303" s="93"/>
      <c r="AD303" s="94"/>
      <c r="AE303" s="95"/>
      <c r="AF303" s="92"/>
    </row>
    <row r="304" spans="2:32" s="72" customFormat="1" x14ac:dyDescent="0.3">
      <c r="B304" s="36"/>
      <c r="C304" s="36"/>
      <c r="D304" s="433"/>
      <c r="E304" s="33"/>
      <c r="F304" s="33"/>
      <c r="G304" s="33"/>
      <c r="H304" s="33"/>
      <c r="I304" s="33"/>
      <c r="J304" s="36"/>
      <c r="K304" s="37"/>
      <c r="L304" s="46"/>
      <c r="M304" s="362"/>
      <c r="N304" s="36"/>
      <c r="O304" s="36"/>
      <c r="P304" s="50"/>
      <c r="Q304" s="36"/>
      <c r="R304" s="36"/>
      <c r="S304" s="36"/>
      <c r="T304" s="36"/>
      <c r="U304" s="36"/>
      <c r="V304" s="36"/>
      <c r="W304" s="36"/>
      <c r="X304" s="36"/>
      <c r="Y304" s="36"/>
      <c r="Z304" s="37"/>
      <c r="AA304" s="52"/>
      <c r="AB304" s="50"/>
      <c r="AC304" s="50"/>
      <c r="AD304" s="51"/>
      <c r="AE304" s="52"/>
      <c r="AF304" s="36"/>
    </row>
    <row r="305" spans="2:32" ht="28.5" x14ac:dyDescent="0.3">
      <c r="B305" s="36"/>
      <c r="C305" s="36"/>
      <c r="E305" s="33">
        <v>1</v>
      </c>
      <c r="F305" s="70" t="s">
        <v>131</v>
      </c>
      <c r="G305" s="70" t="s">
        <v>131</v>
      </c>
      <c r="H305" s="33">
        <v>15</v>
      </c>
      <c r="I305" s="34">
        <v>4</v>
      </c>
      <c r="J305" s="36" t="s">
        <v>1071</v>
      </c>
      <c r="K305" s="374" t="s">
        <v>290</v>
      </c>
      <c r="L305" s="375" t="s">
        <v>291</v>
      </c>
      <c r="M305" s="375" t="s">
        <v>292</v>
      </c>
      <c r="N305" s="36" t="s">
        <v>301</v>
      </c>
      <c r="O305" s="36" t="s">
        <v>301</v>
      </c>
      <c r="P305" s="50">
        <v>1726628450</v>
      </c>
      <c r="Q305" s="36" t="s">
        <v>301</v>
      </c>
      <c r="R305" s="431">
        <f>P305+(P305*10%)</f>
        <v>1899291295</v>
      </c>
      <c r="S305" s="36" t="s">
        <v>301</v>
      </c>
      <c r="T305" s="431">
        <f>R305+(R305*10%)</f>
        <v>2089220424.5</v>
      </c>
      <c r="U305" s="36" t="s">
        <v>301</v>
      </c>
      <c r="V305" s="431">
        <f>T305+(T305*10%)</f>
        <v>2298142466.9499998</v>
      </c>
      <c r="W305" s="36" t="s">
        <v>301</v>
      </c>
      <c r="X305" s="431">
        <f>V305+(V305*10%)</f>
        <v>2527956713.645</v>
      </c>
      <c r="Y305" s="36" t="s">
        <v>301</v>
      </c>
      <c r="Z305" s="431">
        <f>X305+V305+T305+R305+P305</f>
        <v>10541239350.094999</v>
      </c>
      <c r="AA305" s="52" t="s">
        <v>66</v>
      </c>
      <c r="AB305" s="50">
        <f>3000*18</f>
        <v>54000</v>
      </c>
      <c r="AC305" s="50">
        <f>2980*18</f>
        <v>53640</v>
      </c>
      <c r="AD305" s="51" t="s">
        <v>140</v>
      </c>
      <c r="AE305" s="52" t="s">
        <v>81</v>
      </c>
      <c r="AF305" s="36" t="s">
        <v>141</v>
      </c>
    </row>
    <row r="306" spans="2:32" ht="71.25" x14ac:dyDescent="0.3">
      <c r="B306" s="36"/>
      <c r="C306" s="36"/>
      <c r="E306" s="33"/>
      <c r="F306" s="33"/>
      <c r="G306" s="33"/>
      <c r="H306" s="33"/>
      <c r="I306" s="33"/>
      <c r="J306" s="36"/>
      <c r="K306" s="374" t="s">
        <v>293</v>
      </c>
      <c r="L306" s="375" t="s">
        <v>291</v>
      </c>
      <c r="M306" s="362" t="s">
        <v>502</v>
      </c>
      <c r="N306" s="36" t="s">
        <v>1117</v>
      </c>
      <c r="O306" s="36" t="s">
        <v>1117</v>
      </c>
      <c r="P306" s="50"/>
      <c r="Q306" s="36" t="s">
        <v>1117</v>
      </c>
      <c r="R306" s="36"/>
      <c r="S306" s="36" t="s">
        <v>1117</v>
      </c>
      <c r="T306" s="36"/>
      <c r="U306" s="36" t="s">
        <v>1117</v>
      </c>
      <c r="V306" s="36"/>
      <c r="W306" s="36" t="s">
        <v>1117</v>
      </c>
      <c r="X306" s="36"/>
      <c r="Y306" s="36" t="s">
        <v>1117</v>
      </c>
      <c r="Z306" s="37"/>
      <c r="AA306" s="52"/>
      <c r="AB306" s="50"/>
      <c r="AC306" s="50"/>
      <c r="AD306" s="51"/>
      <c r="AE306" s="52"/>
      <c r="AF306" s="36"/>
    </row>
    <row r="307" spans="2:32" ht="28.5" x14ac:dyDescent="0.3">
      <c r="B307" s="36"/>
      <c r="C307" s="36"/>
      <c r="E307" s="33"/>
      <c r="F307" s="33"/>
      <c r="G307" s="33"/>
      <c r="H307" s="33"/>
      <c r="I307" s="33"/>
      <c r="J307" s="36"/>
      <c r="K307" s="37"/>
      <c r="L307" s="375" t="s">
        <v>291</v>
      </c>
      <c r="M307" s="362" t="s">
        <v>506</v>
      </c>
      <c r="N307" s="36" t="s">
        <v>137</v>
      </c>
      <c r="O307" s="36" t="s">
        <v>137</v>
      </c>
      <c r="P307" s="50"/>
      <c r="Q307" s="36" t="s">
        <v>137</v>
      </c>
      <c r="R307" s="36"/>
      <c r="S307" s="36" t="s">
        <v>137</v>
      </c>
      <c r="T307" s="36"/>
      <c r="U307" s="36" t="s">
        <v>137</v>
      </c>
      <c r="V307" s="36"/>
      <c r="W307" s="36" t="s">
        <v>137</v>
      </c>
      <c r="X307" s="36"/>
      <c r="Y307" s="36" t="s">
        <v>137</v>
      </c>
      <c r="Z307" s="37"/>
      <c r="AA307" s="52"/>
      <c r="AB307" s="50"/>
      <c r="AC307" s="50"/>
      <c r="AD307" s="51"/>
      <c r="AE307" s="52"/>
      <c r="AF307" s="36"/>
    </row>
    <row r="308" spans="2:32" s="72" customFormat="1" ht="28.5" x14ac:dyDescent="0.3">
      <c r="B308" s="36"/>
      <c r="C308" s="36"/>
      <c r="D308" s="433"/>
      <c r="E308" s="33"/>
      <c r="F308" s="33"/>
      <c r="G308" s="33"/>
      <c r="H308" s="33"/>
      <c r="I308" s="33"/>
      <c r="J308" s="36"/>
      <c r="K308" s="37"/>
      <c r="L308" s="375" t="s">
        <v>291</v>
      </c>
      <c r="M308" s="362" t="s">
        <v>508</v>
      </c>
      <c r="N308" s="36" t="s">
        <v>137</v>
      </c>
      <c r="O308" s="36" t="s">
        <v>137</v>
      </c>
      <c r="P308" s="50"/>
      <c r="Q308" s="36" t="s">
        <v>137</v>
      </c>
      <c r="R308" s="36"/>
      <c r="S308" s="36" t="s">
        <v>137</v>
      </c>
      <c r="T308" s="36"/>
      <c r="U308" s="36" t="s">
        <v>137</v>
      </c>
      <c r="V308" s="36"/>
      <c r="W308" s="36" t="s">
        <v>137</v>
      </c>
      <c r="X308" s="36"/>
      <c r="Y308" s="36" t="s">
        <v>137</v>
      </c>
      <c r="Z308" s="37"/>
      <c r="AA308" s="52"/>
      <c r="AB308" s="50"/>
      <c r="AC308" s="50"/>
      <c r="AD308" s="51"/>
      <c r="AE308" s="52"/>
      <c r="AF308" s="36"/>
    </row>
    <row r="309" spans="2:32" s="72" customFormat="1" ht="28.5" x14ac:dyDescent="0.3">
      <c r="B309" s="36"/>
      <c r="C309" s="36"/>
      <c r="D309" s="433"/>
      <c r="E309" s="33"/>
      <c r="F309" s="33"/>
      <c r="G309" s="33"/>
      <c r="H309" s="33"/>
      <c r="I309" s="33"/>
      <c r="J309" s="36"/>
      <c r="K309" s="37"/>
      <c r="L309" s="375" t="s">
        <v>291</v>
      </c>
      <c r="M309" s="362" t="s">
        <v>1244</v>
      </c>
      <c r="N309" s="36" t="s">
        <v>520</v>
      </c>
      <c r="O309" s="36" t="s">
        <v>520</v>
      </c>
      <c r="P309" s="50"/>
      <c r="Q309" s="36" t="s">
        <v>520</v>
      </c>
      <c r="R309" s="36"/>
      <c r="S309" s="36" t="s">
        <v>520</v>
      </c>
      <c r="T309" s="36"/>
      <c r="U309" s="36" t="s">
        <v>520</v>
      </c>
      <c r="V309" s="36"/>
      <c r="W309" s="36" t="s">
        <v>520</v>
      </c>
      <c r="X309" s="36"/>
      <c r="Y309" s="36" t="s">
        <v>520</v>
      </c>
      <c r="Z309" s="37"/>
      <c r="AA309" s="52"/>
      <c r="AB309" s="50"/>
      <c r="AC309" s="50"/>
      <c r="AD309" s="51"/>
      <c r="AE309" s="52"/>
      <c r="AF309" s="36"/>
    </row>
    <row r="310" spans="2:32" s="72" customFormat="1" ht="28.5" x14ac:dyDescent="0.3">
      <c r="B310" s="36"/>
      <c r="C310" s="36"/>
      <c r="D310" s="433"/>
      <c r="E310" s="33"/>
      <c r="F310" s="33"/>
      <c r="G310" s="33"/>
      <c r="H310" s="33"/>
      <c r="I310" s="33"/>
      <c r="J310" s="36"/>
      <c r="K310" s="37"/>
      <c r="L310" s="375" t="s">
        <v>291</v>
      </c>
      <c r="M310" s="362" t="s">
        <v>1245</v>
      </c>
      <c r="N310" s="36" t="s">
        <v>520</v>
      </c>
      <c r="O310" s="36" t="s">
        <v>520</v>
      </c>
      <c r="P310" s="50"/>
      <c r="Q310" s="36" t="s">
        <v>520</v>
      </c>
      <c r="R310" s="36"/>
      <c r="S310" s="36" t="s">
        <v>520</v>
      </c>
      <c r="T310" s="36"/>
      <c r="U310" s="36" t="s">
        <v>520</v>
      </c>
      <c r="V310" s="36"/>
      <c r="W310" s="36" t="s">
        <v>520</v>
      </c>
      <c r="X310" s="36"/>
      <c r="Y310" s="36" t="s">
        <v>520</v>
      </c>
      <c r="Z310" s="37"/>
      <c r="AA310" s="52"/>
      <c r="AB310" s="50"/>
      <c r="AC310" s="50"/>
      <c r="AD310" s="51"/>
      <c r="AE310" s="52"/>
      <c r="AF310" s="36"/>
    </row>
    <row r="311" spans="2:32" s="72" customFormat="1" ht="28.5" x14ac:dyDescent="0.3">
      <c r="B311" s="36"/>
      <c r="C311" s="36"/>
      <c r="D311" s="433"/>
      <c r="E311" s="33"/>
      <c r="F311" s="70"/>
      <c r="G311" s="70"/>
      <c r="H311" s="33"/>
      <c r="I311" s="33"/>
      <c r="J311" s="36"/>
      <c r="K311" s="37"/>
      <c r="L311" s="375" t="s">
        <v>291</v>
      </c>
      <c r="M311" s="363" t="s">
        <v>1246</v>
      </c>
      <c r="N311" s="36" t="s">
        <v>520</v>
      </c>
      <c r="O311" s="36" t="s">
        <v>520</v>
      </c>
      <c r="P311" s="74"/>
      <c r="Q311" s="36" t="s">
        <v>520</v>
      </c>
      <c r="R311" s="36"/>
      <c r="S311" s="36" t="s">
        <v>520</v>
      </c>
      <c r="T311" s="36"/>
      <c r="U311" s="36" t="s">
        <v>520</v>
      </c>
      <c r="V311" s="36"/>
      <c r="W311" s="36" t="s">
        <v>520</v>
      </c>
      <c r="X311" s="36"/>
      <c r="Y311" s="36" t="s">
        <v>520</v>
      </c>
      <c r="Z311" s="37"/>
      <c r="AA311" s="52"/>
      <c r="AB311" s="50"/>
      <c r="AC311" s="50"/>
      <c r="AD311" s="51"/>
      <c r="AE311" s="52"/>
      <c r="AF311" s="36" t="s">
        <v>142</v>
      </c>
    </row>
    <row r="312" spans="2:32" s="73" customFormat="1" ht="42.75" x14ac:dyDescent="0.3">
      <c r="B312" s="36"/>
      <c r="C312" s="36"/>
      <c r="D312" s="14"/>
      <c r="E312" s="33"/>
      <c r="F312" s="70"/>
      <c r="G312" s="70"/>
      <c r="H312" s="33"/>
      <c r="I312" s="33"/>
      <c r="J312" s="36"/>
      <c r="K312" s="37"/>
      <c r="L312" s="375" t="s">
        <v>291</v>
      </c>
      <c r="M312" s="363" t="s">
        <v>1247</v>
      </c>
      <c r="N312" s="36">
        <f>F312</f>
        <v>0</v>
      </c>
      <c r="O312" s="36">
        <f>G312</f>
        <v>0</v>
      </c>
      <c r="P312" s="50"/>
      <c r="Q312" s="36">
        <f>I312</f>
        <v>0</v>
      </c>
      <c r="R312" s="36"/>
      <c r="S312" s="36">
        <f>K312</f>
        <v>0</v>
      </c>
      <c r="T312" s="36"/>
      <c r="U312" s="36" t="str">
        <f>M312</f>
        <v>- Jumlah pengadaan bahan praktek siswa TK</v>
      </c>
      <c r="V312" s="36"/>
      <c r="W312" s="36">
        <f>O312</f>
        <v>0</v>
      </c>
      <c r="X312" s="36"/>
      <c r="Y312" s="36">
        <f>Q312</f>
        <v>0</v>
      </c>
      <c r="Z312" s="37"/>
      <c r="AA312" s="52"/>
      <c r="AB312" s="50">
        <f>3000*18</f>
        <v>54000</v>
      </c>
      <c r="AC312" s="50">
        <f>AB312+(AB312*10%)</f>
        <v>59400</v>
      </c>
      <c r="AD312" s="51" t="s">
        <v>140</v>
      </c>
      <c r="AE312" s="52" t="s">
        <v>81</v>
      </c>
      <c r="AF312" s="36" t="s">
        <v>143</v>
      </c>
    </row>
    <row r="313" spans="2:32" ht="28.5" x14ac:dyDescent="0.3">
      <c r="B313" s="36"/>
      <c r="C313" s="36"/>
      <c r="E313" s="33"/>
      <c r="F313" s="70"/>
      <c r="G313" s="70"/>
      <c r="H313" s="33"/>
      <c r="I313" s="33"/>
      <c r="J313" s="36"/>
      <c r="K313" s="37"/>
      <c r="L313" s="375" t="s">
        <v>291</v>
      </c>
      <c r="M313" s="363" t="s">
        <v>1248</v>
      </c>
      <c r="N313" s="36" t="s">
        <v>143</v>
      </c>
      <c r="O313" s="36" t="s">
        <v>143</v>
      </c>
      <c r="P313" s="50"/>
      <c r="Q313" s="36" t="s">
        <v>143</v>
      </c>
      <c r="R313" s="36"/>
      <c r="S313" s="36" t="s">
        <v>143</v>
      </c>
      <c r="T313" s="36"/>
      <c r="U313" s="36" t="s">
        <v>143</v>
      </c>
      <c r="V313" s="36"/>
      <c r="W313" s="36" t="s">
        <v>143</v>
      </c>
      <c r="X313" s="36"/>
      <c r="Y313" s="36" t="s">
        <v>143</v>
      </c>
      <c r="Z313" s="37"/>
      <c r="AA313" s="52" t="s">
        <v>140</v>
      </c>
      <c r="AB313" s="50"/>
      <c r="AC313" s="50"/>
      <c r="AD313" s="51"/>
      <c r="AE313" s="52"/>
      <c r="AF313" s="36" t="s">
        <v>137</v>
      </c>
    </row>
    <row r="314" spans="2:32" s="73" customFormat="1" ht="28.5" x14ac:dyDescent="0.3">
      <c r="B314" s="36"/>
      <c r="C314" s="36"/>
      <c r="D314" s="14"/>
      <c r="E314" s="33"/>
      <c r="F314" s="33"/>
      <c r="G314" s="33"/>
      <c r="H314" s="33"/>
      <c r="I314" s="33"/>
      <c r="J314" s="36"/>
      <c r="K314" s="37"/>
      <c r="L314" s="375" t="s">
        <v>291</v>
      </c>
      <c r="M314" s="362" t="s">
        <v>517</v>
      </c>
      <c r="N314" s="36" t="s">
        <v>141</v>
      </c>
      <c r="O314" s="36" t="s">
        <v>141</v>
      </c>
      <c r="P314" s="50"/>
      <c r="Q314" s="36" t="s">
        <v>141</v>
      </c>
      <c r="R314" s="36"/>
      <c r="S314" s="36" t="s">
        <v>141</v>
      </c>
      <c r="T314" s="36"/>
      <c r="U314" s="36" t="s">
        <v>141</v>
      </c>
      <c r="V314" s="36"/>
      <c r="W314" s="36" t="s">
        <v>141</v>
      </c>
      <c r="X314" s="36"/>
      <c r="Y314" s="36" t="s">
        <v>141</v>
      </c>
      <c r="Z314" s="37"/>
      <c r="AA314" s="52"/>
      <c r="AB314" s="50">
        <v>1456000</v>
      </c>
      <c r="AC314" s="50">
        <f>AB314</f>
        <v>1456000</v>
      </c>
      <c r="AD314" s="51" t="s">
        <v>140</v>
      </c>
      <c r="AE314" s="52" t="s">
        <v>81</v>
      </c>
      <c r="AF314" s="36"/>
    </row>
    <row r="315" spans="2:32" s="73" customFormat="1" ht="28.5" x14ac:dyDescent="0.3">
      <c r="B315" s="36"/>
      <c r="C315" s="36"/>
      <c r="D315" s="14"/>
      <c r="E315" s="33"/>
      <c r="F315" s="33"/>
      <c r="G315" s="33"/>
      <c r="H315" s="33"/>
      <c r="I315" s="33"/>
      <c r="J315" s="36"/>
      <c r="K315" s="37"/>
      <c r="L315" s="375" t="s">
        <v>291</v>
      </c>
      <c r="M315" s="362" t="s">
        <v>519</v>
      </c>
      <c r="N315" s="36" t="s">
        <v>520</v>
      </c>
      <c r="O315" s="36" t="s">
        <v>520</v>
      </c>
      <c r="P315" s="50"/>
      <c r="Q315" s="36" t="s">
        <v>520</v>
      </c>
      <c r="R315" s="36"/>
      <c r="S315" s="36" t="s">
        <v>520</v>
      </c>
      <c r="T315" s="36"/>
      <c r="U315" s="36" t="s">
        <v>520</v>
      </c>
      <c r="V315" s="36"/>
      <c r="W315" s="36" t="s">
        <v>520</v>
      </c>
      <c r="X315" s="36"/>
      <c r="Y315" s="36" t="s">
        <v>520</v>
      </c>
      <c r="Z315" s="37"/>
      <c r="AA315" s="52"/>
      <c r="AB315" s="50"/>
      <c r="AC315" s="50"/>
      <c r="AD315" s="51"/>
      <c r="AE315" s="75"/>
      <c r="AF315" s="36"/>
    </row>
    <row r="316" spans="2:32" s="73" customFormat="1" ht="42.75" x14ac:dyDescent="0.3">
      <c r="B316" s="36"/>
      <c r="C316" s="36"/>
      <c r="D316" s="14"/>
      <c r="E316" s="33"/>
      <c r="F316" s="33"/>
      <c r="G316" s="33"/>
      <c r="H316" s="33"/>
      <c r="I316" s="33"/>
      <c r="J316" s="36"/>
      <c r="K316" s="374" t="s">
        <v>294</v>
      </c>
      <c r="L316" s="375" t="s">
        <v>291</v>
      </c>
      <c r="M316" s="362" t="s">
        <v>1417</v>
      </c>
      <c r="N316" s="41">
        <v>1</v>
      </c>
      <c r="O316" s="41">
        <v>1</v>
      </c>
      <c r="P316" s="50"/>
      <c r="Q316" s="41">
        <v>1</v>
      </c>
      <c r="R316" s="36"/>
      <c r="S316" s="41">
        <v>1</v>
      </c>
      <c r="T316" s="36"/>
      <c r="U316" s="41">
        <v>1</v>
      </c>
      <c r="V316" s="36"/>
      <c r="W316" s="41">
        <v>1</v>
      </c>
      <c r="X316" s="36"/>
      <c r="Y316" s="41">
        <v>1</v>
      </c>
      <c r="Z316" s="37"/>
      <c r="AA316" s="52"/>
      <c r="AB316" s="50"/>
      <c r="AC316" s="50"/>
      <c r="AD316" s="51"/>
      <c r="AE316" s="75"/>
      <c r="AF316" s="36"/>
    </row>
    <row r="317" spans="2:32" s="73" customFormat="1" ht="28.5" x14ac:dyDescent="0.3">
      <c r="B317" s="36"/>
      <c r="C317" s="36"/>
      <c r="D317" s="14"/>
      <c r="E317" s="33"/>
      <c r="F317" s="33"/>
      <c r="G317" s="33"/>
      <c r="H317" s="33"/>
      <c r="I317" s="33"/>
      <c r="J317" s="36"/>
      <c r="K317" s="374" t="s">
        <v>295</v>
      </c>
      <c r="L317" s="375" t="s">
        <v>291</v>
      </c>
      <c r="M317" s="400" t="s">
        <v>1416</v>
      </c>
      <c r="N317" s="36"/>
      <c r="O317" s="36"/>
      <c r="P317" s="50"/>
      <c r="Q317" s="36"/>
      <c r="R317" s="36"/>
      <c r="S317" s="36"/>
      <c r="T317" s="36"/>
      <c r="U317" s="36"/>
      <c r="V317" s="36"/>
      <c r="W317" s="36"/>
      <c r="X317" s="36"/>
      <c r="Y317" s="36"/>
      <c r="Z317" s="37"/>
      <c r="AA317" s="52"/>
      <c r="AB317" s="50"/>
      <c r="AC317" s="50"/>
      <c r="AD317" s="51"/>
      <c r="AE317" s="75"/>
      <c r="AF317" s="36"/>
    </row>
    <row r="318" spans="2:32" s="73" customFormat="1" x14ac:dyDescent="0.3">
      <c r="B318" s="92"/>
      <c r="C318" s="92"/>
      <c r="D318" s="448"/>
      <c r="E318" s="91"/>
      <c r="F318" s="91"/>
      <c r="G318" s="91"/>
      <c r="H318" s="91"/>
      <c r="I318" s="91"/>
      <c r="J318" s="92"/>
      <c r="K318" s="377" t="s">
        <v>297</v>
      </c>
      <c r="L318" s="378" t="s">
        <v>291</v>
      </c>
      <c r="M318" s="385" t="s">
        <v>501</v>
      </c>
      <c r="N318" s="92"/>
      <c r="O318" s="92"/>
      <c r="P318" s="93"/>
      <c r="Q318" s="92"/>
      <c r="R318" s="92"/>
      <c r="S318" s="92"/>
      <c r="T318" s="92"/>
      <c r="U318" s="92"/>
      <c r="V318" s="92"/>
      <c r="W318" s="92"/>
      <c r="X318" s="92"/>
      <c r="Y318" s="92"/>
      <c r="Z318" s="101"/>
      <c r="AA318" s="95"/>
      <c r="AB318" s="93"/>
      <c r="AC318" s="93"/>
      <c r="AD318" s="94"/>
      <c r="AE318" s="408"/>
      <c r="AF318" s="92"/>
    </row>
    <row r="319" spans="2:32" s="73" customFormat="1" x14ac:dyDescent="0.3">
      <c r="B319" s="36"/>
      <c r="C319" s="36"/>
      <c r="D319" s="14"/>
      <c r="E319" s="33"/>
      <c r="F319" s="33"/>
      <c r="G319" s="33"/>
      <c r="H319" s="33"/>
      <c r="I319" s="33"/>
      <c r="J319" s="36"/>
      <c r="K319" s="37"/>
      <c r="L319" s="375"/>
      <c r="M319" s="362"/>
      <c r="N319" s="36"/>
      <c r="O319" s="36"/>
      <c r="P319" s="50"/>
      <c r="Q319" s="36"/>
      <c r="R319" s="36"/>
      <c r="S319" s="36"/>
      <c r="T319" s="36"/>
      <c r="U319" s="36"/>
      <c r="V319" s="36"/>
      <c r="W319" s="36"/>
      <c r="X319" s="36"/>
      <c r="Y319" s="36"/>
      <c r="Z319" s="37"/>
      <c r="AA319" s="52"/>
      <c r="AB319" s="50"/>
      <c r="AC319" s="50"/>
      <c r="AD319" s="51"/>
      <c r="AE319" s="75"/>
      <c r="AF319" s="36"/>
    </row>
    <row r="320" spans="2:32" s="73" customFormat="1" ht="28.5" x14ac:dyDescent="0.3">
      <c r="B320" s="36"/>
      <c r="C320" s="36"/>
      <c r="D320" s="14"/>
      <c r="E320" s="33">
        <v>1</v>
      </c>
      <c r="F320" s="70" t="s">
        <v>131</v>
      </c>
      <c r="G320" s="70" t="s">
        <v>131</v>
      </c>
      <c r="H320" s="33">
        <v>15</v>
      </c>
      <c r="I320" s="34">
        <v>5</v>
      </c>
      <c r="J320" s="36" t="s">
        <v>1072</v>
      </c>
      <c r="K320" s="374" t="s">
        <v>290</v>
      </c>
      <c r="L320" s="375" t="s">
        <v>291</v>
      </c>
      <c r="M320" s="375" t="s">
        <v>292</v>
      </c>
      <c r="N320" s="36" t="s">
        <v>301</v>
      </c>
      <c r="O320" s="36" t="s">
        <v>301</v>
      </c>
      <c r="P320" s="50">
        <v>16300000</v>
      </c>
      <c r="Q320" s="36" t="s">
        <v>301</v>
      </c>
      <c r="R320" s="431">
        <f>P320+(P320*10%)</f>
        <v>17930000</v>
      </c>
      <c r="S320" s="36" t="s">
        <v>301</v>
      </c>
      <c r="T320" s="431">
        <f>R320+(R320*10%)</f>
        <v>19723000</v>
      </c>
      <c r="U320" s="36" t="s">
        <v>301</v>
      </c>
      <c r="V320" s="431">
        <f>T320+(T320*10%)</f>
        <v>21695300</v>
      </c>
      <c r="W320" s="36" t="s">
        <v>301</v>
      </c>
      <c r="X320" s="431">
        <f>V320+(V320*10%)</f>
        <v>23864830</v>
      </c>
      <c r="Y320" s="36" t="s">
        <v>301</v>
      </c>
      <c r="Z320" s="431">
        <f>X320+V320+T320+R320+P320</f>
        <v>99513130</v>
      </c>
      <c r="AA320" s="52" t="s">
        <v>140</v>
      </c>
      <c r="AB320" s="50">
        <v>538200</v>
      </c>
      <c r="AC320" s="50">
        <f>(13000*12*3)+(468000*15%)</f>
        <v>538200</v>
      </c>
      <c r="AD320" s="51" t="s">
        <v>140</v>
      </c>
      <c r="AE320" s="52" t="s">
        <v>81</v>
      </c>
      <c r="AF320" s="36" t="s">
        <v>144</v>
      </c>
    </row>
    <row r="321" spans="2:32" s="73" customFormat="1" ht="28.5" x14ac:dyDescent="0.3">
      <c r="B321" s="36"/>
      <c r="C321" s="36"/>
      <c r="D321" s="14"/>
      <c r="E321" s="33"/>
      <c r="F321" s="33"/>
      <c r="G321" s="33"/>
      <c r="H321" s="33"/>
      <c r="I321" s="33"/>
      <c r="J321" s="36"/>
      <c r="K321" s="374" t="s">
        <v>293</v>
      </c>
      <c r="L321" s="375" t="s">
        <v>291</v>
      </c>
      <c r="M321" s="362" t="s">
        <v>632</v>
      </c>
      <c r="N321" s="36" t="s">
        <v>1115</v>
      </c>
      <c r="O321" s="36" t="s">
        <v>1115</v>
      </c>
      <c r="P321" s="50"/>
      <c r="Q321" s="36" t="s">
        <v>1115</v>
      </c>
      <c r="R321" s="36"/>
      <c r="S321" s="36" t="s">
        <v>1115</v>
      </c>
      <c r="T321" s="36"/>
      <c r="U321" s="36" t="s">
        <v>1115</v>
      </c>
      <c r="V321" s="36"/>
      <c r="W321" s="36" t="s">
        <v>1115</v>
      </c>
      <c r="X321" s="36"/>
      <c r="Y321" s="36" t="s">
        <v>1115</v>
      </c>
      <c r="Z321" s="37"/>
      <c r="AA321" s="52"/>
      <c r="AB321" s="50"/>
      <c r="AC321" s="50"/>
      <c r="AD321" s="51"/>
      <c r="AE321" s="52"/>
      <c r="AF321" s="36"/>
    </row>
    <row r="322" spans="2:32" s="73" customFormat="1" ht="28.5" x14ac:dyDescent="0.3">
      <c r="B322" s="36"/>
      <c r="C322" s="36"/>
      <c r="D322" s="14"/>
      <c r="E322" s="33"/>
      <c r="F322" s="33"/>
      <c r="G322" s="33"/>
      <c r="H322" s="33"/>
      <c r="I322" s="33"/>
      <c r="J322" s="36"/>
      <c r="K322" s="374" t="s">
        <v>294</v>
      </c>
      <c r="L322" s="375" t="s">
        <v>291</v>
      </c>
      <c r="M322" s="362" t="s">
        <v>1418</v>
      </c>
      <c r="N322" s="41">
        <v>1</v>
      </c>
      <c r="O322" s="41">
        <v>1</v>
      </c>
      <c r="P322" s="50"/>
      <c r="Q322" s="41">
        <v>1</v>
      </c>
      <c r="R322" s="36"/>
      <c r="S322" s="41">
        <v>1</v>
      </c>
      <c r="T322" s="36"/>
      <c r="U322" s="41">
        <v>1</v>
      </c>
      <c r="V322" s="36"/>
      <c r="W322" s="41">
        <v>1</v>
      </c>
      <c r="X322" s="36"/>
      <c r="Y322" s="41">
        <v>1</v>
      </c>
      <c r="Z322" s="37"/>
      <c r="AA322" s="52"/>
      <c r="AB322" s="50"/>
      <c r="AC322" s="50"/>
      <c r="AD322" s="51"/>
      <c r="AE322" s="52"/>
      <c r="AF322" s="36"/>
    </row>
    <row r="323" spans="2:32" s="73" customFormat="1" ht="28.5" x14ac:dyDescent="0.3">
      <c r="B323" s="36"/>
      <c r="C323" s="36"/>
      <c r="D323" s="14"/>
      <c r="E323" s="33"/>
      <c r="F323" s="33"/>
      <c r="G323" s="33"/>
      <c r="H323" s="33"/>
      <c r="I323" s="33"/>
      <c r="J323" s="36"/>
      <c r="K323" s="374" t="s">
        <v>295</v>
      </c>
      <c r="L323" s="375" t="s">
        <v>291</v>
      </c>
      <c r="M323" s="400" t="s">
        <v>1416</v>
      </c>
      <c r="N323" s="36"/>
      <c r="O323" s="36"/>
      <c r="P323" s="50"/>
      <c r="Q323" s="36"/>
      <c r="R323" s="36"/>
      <c r="S323" s="36"/>
      <c r="T323" s="36"/>
      <c r="U323" s="36"/>
      <c r="V323" s="36"/>
      <c r="W323" s="36"/>
      <c r="X323" s="36"/>
      <c r="Y323" s="36"/>
      <c r="Z323" s="37"/>
      <c r="AA323" s="52"/>
      <c r="AB323" s="50"/>
      <c r="AC323" s="50"/>
      <c r="AD323" s="51"/>
      <c r="AE323" s="52"/>
      <c r="AF323" s="36"/>
    </row>
    <row r="324" spans="2:32" s="73" customFormat="1" x14ac:dyDescent="0.3">
      <c r="B324" s="92"/>
      <c r="C324" s="92"/>
      <c r="D324" s="448"/>
      <c r="E324" s="91"/>
      <c r="F324" s="91"/>
      <c r="G324" s="91"/>
      <c r="H324" s="91"/>
      <c r="I324" s="91"/>
      <c r="J324" s="92"/>
      <c r="K324" s="377" t="s">
        <v>297</v>
      </c>
      <c r="L324" s="378" t="s">
        <v>291</v>
      </c>
      <c r="M324" s="385" t="s">
        <v>501</v>
      </c>
      <c r="N324" s="92"/>
      <c r="O324" s="92"/>
      <c r="P324" s="93"/>
      <c r="Q324" s="92"/>
      <c r="R324" s="92"/>
      <c r="S324" s="92"/>
      <c r="T324" s="92"/>
      <c r="U324" s="92"/>
      <c r="V324" s="92"/>
      <c r="W324" s="92"/>
      <c r="X324" s="92"/>
      <c r="Y324" s="92"/>
      <c r="Z324" s="101"/>
      <c r="AA324" s="95"/>
      <c r="AB324" s="93"/>
      <c r="AC324" s="93"/>
      <c r="AD324" s="94"/>
      <c r="AE324" s="95"/>
      <c r="AF324" s="92"/>
    </row>
    <row r="325" spans="2:32" s="73" customFormat="1" x14ac:dyDescent="0.3">
      <c r="B325" s="36"/>
      <c r="C325" s="36"/>
      <c r="D325" s="14"/>
      <c r="E325" s="33"/>
      <c r="F325" s="33"/>
      <c r="G325" s="33"/>
      <c r="H325" s="33"/>
      <c r="I325" s="33"/>
      <c r="J325" s="36"/>
      <c r="K325" s="37"/>
      <c r="L325" s="46"/>
      <c r="M325" s="362"/>
      <c r="N325" s="36"/>
      <c r="O325" s="36"/>
      <c r="P325" s="50"/>
      <c r="Q325" s="36"/>
      <c r="R325" s="36"/>
      <c r="S325" s="36"/>
      <c r="T325" s="36"/>
      <c r="U325" s="36"/>
      <c r="V325" s="36"/>
      <c r="W325" s="36"/>
      <c r="X325" s="36"/>
      <c r="Y325" s="36"/>
      <c r="Z325" s="37"/>
      <c r="AA325" s="52"/>
      <c r="AB325" s="50"/>
      <c r="AC325" s="50"/>
      <c r="AD325" s="51"/>
      <c r="AE325" s="52"/>
      <c r="AF325" s="36"/>
    </row>
    <row r="326" spans="2:32" s="73" customFormat="1" ht="28.5" x14ac:dyDescent="0.3">
      <c r="B326" s="36"/>
      <c r="C326" s="36"/>
      <c r="D326" s="14"/>
      <c r="E326" s="33">
        <v>1</v>
      </c>
      <c r="F326" s="70" t="s">
        <v>131</v>
      </c>
      <c r="G326" s="70" t="s">
        <v>131</v>
      </c>
      <c r="H326" s="33">
        <v>15</v>
      </c>
      <c r="I326" s="34">
        <v>6</v>
      </c>
      <c r="J326" s="36" t="s">
        <v>1073</v>
      </c>
      <c r="K326" s="374" t="s">
        <v>290</v>
      </c>
      <c r="L326" s="375" t="s">
        <v>291</v>
      </c>
      <c r="M326" s="375" t="s">
        <v>292</v>
      </c>
      <c r="N326" s="36" t="s">
        <v>301</v>
      </c>
      <c r="O326" s="36" t="s">
        <v>301</v>
      </c>
      <c r="P326" s="50">
        <v>349850000</v>
      </c>
      <c r="Q326" s="36" t="s">
        <v>301</v>
      </c>
      <c r="R326" s="431">
        <f>P326+(P326*10%)</f>
        <v>384835000</v>
      </c>
      <c r="S326" s="36" t="s">
        <v>301</v>
      </c>
      <c r="T326" s="431">
        <f>R326+(R326*10%)</f>
        <v>423318500</v>
      </c>
      <c r="U326" s="36" t="s">
        <v>301</v>
      </c>
      <c r="V326" s="431">
        <f>T326+(T326*10%)</f>
        <v>465650350</v>
      </c>
      <c r="W326" s="36" t="s">
        <v>301</v>
      </c>
      <c r="X326" s="431">
        <f>V326+(V326*10%)</f>
        <v>512215385</v>
      </c>
      <c r="Y326" s="36" t="s">
        <v>301</v>
      </c>
      <c r="Z326" s="431">
        <f>X326+V326+T326+R326+P326</f>
        <v>2135869235</v>
      </c>
      <c r="AA326" s="52" t="s">
        <v>140</v>
      </c>
      <c r="AB326" s="50">
        <v>90000</v>
      </c>
      <c r="AC326" s="50">
        <f>18*18000</f>
        <v>324000</v>
      </c>
      <c r="AD326" s="51" t="s">
        <v>140</v>
      </c>
      <c r="AE326" s="52" t="s">
        <v>81</v>
      </c>
      <c r="AF326" s="36" t="s">
        <v>75</v>
      </c>
    </row>
    <row r="327" spans="2:32" ht="42.75" x14ac:dyDescent="0.3">
      <c r="B327" s="36"/>
      <c r="C327" s="36"/>
      <c r="E327" s="33"/>
      <c r="F327" s="33"/>
      <c r="G327" s="33"/>
      <c r="H327" s="33"/>
      <c r="I327" s="33"/>
      <c r="J327" s="36"/>
      <c r="K327" s="374" t="s">
        <v>293</v>
      </c>
      <c r="L327" s="375" t="s">
        <v>291</v>
      </c>
      <c r="M327" s="362" t="s">
        <v>1249</v>
      </c>
      <c r="N327" s="36" t="s">
        <v>1118</v>
      </c>
      <c r="O327" s="36" t="s">
        <v>1118</v>
      </c>
      <c r="P327" s="50"/>
      <c r="Q327" s="36" t="s">
        <v>1118</v>
      </c>
      <c r="R327" s="36"/>
      <c r="S327" s="36" t="s">
        <v>1118</v>
      </c>
      <c r="T327" s="36"/>
      <c r="U327" s="36" t="s">
        <v>1118</v>
      </c>
      <c r="V327" s="36"/>
      <c r="W327" s="36" t="s">
        <v>1118</v>
      </c>
      <c r="X327" s="36"/>
      <c r="Y327" s="36" t="s">
        <v>1118</v>
      </c>
      <c r="Z327" s="37"/>
      <c r="AA327" s="52"/>
      <c r="AB327" s="50"/>
      <c r="AC327" s="50"/>
      <c r="AD327" s="51"/>
      <c r="AE327" s="52"/>
      <c r="AF327" s="36"/>
    </row>
    <row r="328" spans="2:32" ht="28.5" x14ac:dyDescent="0.3">
      <c r="B328" s="36"/>
      <c r="C328" s="36"/>
      <c r="E328" s="33"/>
      <c r="F328" s="33"/>
      <c r="G328" s="33"/>
      <c r="H328" s="33"/>
      <c r="I328" s="33"/>
      <c r="J328" s="36"/>
      <c r="K328" s="374" t="s">
        <v>294</v>
      </c>
      <c r="L328" s="375" t="s">
        <v>291</v>
      </c>
      <c r="M328" s="362" t="s">
        <v>1419</v>
      </c>
      <c r="N328" s="41">
        <v>1</v>
      </c>
      <c r="O328" s="41">
        <v>1</v>
      </c>
      <c r="P328" s="50"/>
      <c r="Q328" s="41">
        <v>1</v>
      </c>
      <c r="R328" s="36"/>
      <c r="S328" s="41">
        <v>1</v>
      </c>
      <c r="T328" s="36"/>
      <c r="U328" s="41">
        <v>1</v>
      </c>
      <c r="V328" s="36"/>
      <c r="W328" s="41">
        <v>1</v>
      </c>
      <c r="X328" s="36"/>
      <c r="Y328" s="41">
        <v>1</v>
      </c>
      <c r="Z328" s="37"/>
      <c r="AA328" s="52"/>
      <c r="AB328" s="50"/>
      <c r="AC328" s="50"/>
      <c r="AD328" s="51"/>
      <c r="AE328" s="52"/>
      <c r="AF328" s="36"/>
    </row>
    <row r="329" spans="2:32" x14ac:dyDescent="0.3">
      <c r="B329" s="36"/>
      <c r="C329" s="36"/>
      <c r="E329" s="33"/>
      <c r="F329" s="33"/>
      <c r="G329" s="33"/>
      <c r="H329" s="33"/>
      <c r="I329" s="33"/>
      <c r="J329" s="36"/>
      <c r="K329" s="374" t="s">
        <v>295</v>
      </c>
      <c r="L329" s="375" t="s">
        <v>291</v>
      </c>
      <c r="M329" s="384" t="s">
        <v>1420</v>
      </c>
      <c r="N329" s="36"/>
      <c r="O329" s="36"/>
      <c r="P329" s="50"/>
      <c r="Q329" s="36"/>
      <c r="R329" s="36"/>
      <c r="S329" s="36"/>
      <c r="T329" s="36"/>
      <c r="U329" s="36"/>
      <c r="V329" s="36"/>
      <c r="W329" s="36"/>
      <c r="X329" s="36"/>
      <c r="Y329" s="36"/>
      <c r="Z329" s="37"/>
      <c r="AA329" s="52"/>
      <c r="AB329" s="50"/>
      <c r="AC329" s="50"/>
      <c r="AD329" s="51"/>
      <c r="AE329" s="52"/>
      <c r="AF329" s="36"/>
    </row>
    <row r="330" spans="2:32" x14ac:dyDescent="0.3">
      <c r="B330" s="92"/>
      <c r="C330" s="92"/>
      <c r="D330" s="445"/>
      <c r="E330" s="91"/>
      <c r="F330" s="91"/>
      <c r="G330" s="91"/>
      <c r="H330" s="91"/>
      <c r="I330" s="91"/>
      <c r="J330" s="92"/>
      <c r="K330" s="377" t="s">
        <v>297</v>
      </c>
      <c r="L330" s="378" t="s">
        <v>291</v>
      </c>
      <c r="M330" s="385" t="s">
        <v>1421</v>
      </c>
      <c r="N330" s="92"/>
      <c r="O330" s="92"/>
      <c r="P330" s="93"/>
      <c r="Q330" s="92"/>
      <c r="R330" s="92"/>
      <c r="S330" s="92"/>
      <c r="T330" s="92"/>
      <c r="U330" s="92"/>
      <c r="V330" s="92"/>
      <c r="W330" s="92"/>
      <c r="X330" s="92"/>
      <c r="Y330" s="92"/>
      <c r="Z330" s="101"/>
      <c r="AA330" s="95"/>
      <c r="AB330" s="93"/>
      <c r="AC330" s="93"/>
      <c r="AD330" s="94"/>
      <c r="AE330" s="95"/>
      <c r="AF330" s="92"/>
    </row>
    <row r="331" spans="2:32" x14ac:dyDescent="0.3">
      <c r="B331" s="36"/>
      <c r="C331" s="36"/>
      <c r="E331" s="33"/>
      <c r="F331" s="33"/>
      <c r="G331" s="33"/>
      <c r="H331" s="33"/>
      <c r="I331" s="33"/>
      <c r="J331" s="36"/>
      <c r="K331" s="37"/>
      <c r="L331" s="46"/>
      <c r="M331" s="362"/>
      <c r="N331" s="36"/>
      <c r="O331" s="36"/>
      <c r="P331" s="50"/>
      <c r="Q331" s="36"/>
      <c r="R331" s="36"/>
      <c r="S331" s="36"/>
      <c r="T331" s="36"/>
      <c r="U331" s="36"/>
      <c r="V331" s="36"/>
      <c r="W331" s="36"/>
      <c r="X331" s="36"/>
      <c r="Y331" s="36"/>
      <c r="Z331" s="37"/>
      <c r="AA331" s="52"/>
      <c r="AB331" s="50"/>
      <c r="AC331" s="50"/>
      <c r="AD331" s="51"/>
      <c r="AE331" s="52"/>
      <c r="AF331" s="36"/>
    </row>
    <row r="332" spans="2:32" ht="28.5" x14ac:dyDescent="0.3">
      <c r="B332" s="36"/>
      <c r="C332" s="36"/>
      <c r="E332" s="33">
        <v>1</v>
      </c>
      <c r="F332" s="70" t="s">
        <v>131</v>
      </c>
      <c r="G332" s="70" t="s">
        <v>131</v>
      </c>
      <c r="H332" s="33">
        <v>15</v>
      </c>
      <c r="I332" s="34">
        <v>7</v>
      </c>
      <c r="J332" s="36" t="s">
        <v>145</v>
      </c>
      <c r="K332" s="374" t="s">
        <v>290</v>
      </c>
      <c r="L332" s="375" t="s">
        <v>291</v>
      </c>
      <c r="M332" s="375" t="s">
        <v>292</v>
      </c>
      <c r="N332" s="36" t="s">
        <v>301</v>
      </c>
      <c r="O332" s="36" t="s">
        <v>301</v>
      </c>
      <c r="P332" s="50">
        <v>344954900</v>
      </c>
      <c r="Q332" s="36" t="s">
        <v>301</v>
      </c>
      <c r="R332" s="431">
        <f>P332+(P332*10%)</f>
        <v>379450390</v>
      </c>
      <c r="S332" s="36" t="s">
        <v>301</v>
      </c>
      <c r="T332" s="431">
        <f>R332+(R332*10%)</f>
        <v>417395429</v>
      </c>
      <c r="U332" s="36" t="s">
        <v>301</v>
      </c>
      <c r="V332" s="431">
        <f>T332+(T332*10%)</f>
        <v>459134971.89999998</v>
      </c>
      <c r="W332" s="36" t="s">
        <v>301</v>
      </c>
      <c r="X332" s="431">
        <f>V332+(V332*10%)</f>
        <v>505048469.08999997</v>
      </c>
      <c r="Y332" s="36" t="s">
        <v>301</v>
      </c>
      <c r="Z332" s="431">
        <f>X332+V332+T332+R332+P332</f>
        <v>2105984159.99</v>
      </c>
      <c r="AA332" s="52" t="s">
        <v>140</v>
      </c>
      <c r="AB332" s="50">
        <f>1000*18</f>
        <v>18000</v>
      </c>
      <c r="AC332" s="50">
        <f>2980*18</f>
        <v>53640</v>
      </c>
      <c r="AD332" s="51" t="s">
        <v>140</v>
      </c>
      <c r="AE332" s="52" t="s">
        <v>81</v>
      </c>
      <c r="AF332" s="36" t="s">
        <v>75</v>
      </c>
    </row>
    <row r="333" spans="2:32" x14ac:dyDescent="0.3">
      <c r="B333" s="36"/>
      <c r="C333" s="36"/>
      <c r="E333" s="33"/>
      <c r="F333" s="33"/>
      <c r="G333" s="33"/>
      <c r="H333" s="33"/>
      <c r="I333" s="33"/>
      <c r="J333" s="36"/>
      <c r="K333" s="374" t="s">
        <v>293</v>
      </c>
      <c r="L333" s="375" t="s">
        <v>291</v>
      </c>
      <c r="M333" s="363" t="s">
        <v>1250</v>
      </c>
      <c r="N333" s="36" t="s">
        <v>1119</v>
      </c>
      <c r="O333" s="36" t="s">
        <v>1119</v>
      </c>
      <c r="P333" s="50"/>
      <c r="Q333" s="36" t="s">
        <v>1119</v>
      </c>
      <c r="R333" s="36"/>
      <c r="S333" s="36" t="s">
        <v>1119</v>
      </c>
      <c r="T333" s="36"/>
      <c r="U333" s="36" t="s">
        <v>1119</v>
      </c>
      <c r="V333" s="36"/>
      <c r="W333" s="36" t="s">
        <v>1119</v>
      </c>
      <c r="X333" s="36"/>
      <c r="Y333" s="36" t="s">
        <v>1119</v>
      </c>
      <c r="Z333" s="37"/>
      <c r="AA333" s="52"/>
      <c r="AB333" s="50"/>
      <c r="AC333" s="50"/>
      <c r="AD333" s="51"/>
      <c r="AE333" s="52"/>
      <c r="AF333" s="36"/>
    </row>
    <row r="334" spans="2:32" ht="42.75" x14ac:dyDescent="0.3">
      <c r="B334" s="36"/>
      <c r="C334" s="36"/>
      <c r="E334" s="33"/>
      <c r="F334" s="33"/>
      <c r="G334" s="33"/>
      <c r="H334" s="33"/>
      <c r="I334" s="33"/>
      <c r="J334" s="36"/>
      <c r="K334" s="37"/>
      <c r="L334" s="375" t="s">
        <v>291</v>
      </c>
      <c r="M334" s="363" t="s">
        <v>1251</v>
      </c>
      <c r="N334" s="36" t="s">
        <v>360</v>
      </c>
      <c r="O334" s="36" t="s">
        <v>360</v>
      </c>
      <c r="P334" s="50"/>
      <c r="Q334" s="36" t="s">
        <v>360</v>
      </c>
      <c r="R334" s="36"/>
      <c r="S334" s="36" t="s">
        <v>360</v>
      </c>
      <c r="T334" s="36"/>
      <c r="U334" s="36" t="s">
        <v>360</v>
      </c>
      <c r="V334" s="36"/>
      <c r="W334" s="36" t="s">
        <v>360</v>
      </c>
      <c r="X334" s="36"/>
      <c r="Y334" s="36" t="s">
        <v>360</v>
      </c>
      <c r="Z334" s="37"/>
      <c r="AA334" s="52"/>
      <c r="AB334" s="50"/>
      <c r="AC334" s="50"/>
      <c r="AD334" s="51"/>
      <c r="AE334" s="52"/>
      <c r="AF334" s="36"/>
    </row>
    <row r="335" spans="2:32" ht="28.5" x14ac:dyDescent="0.3">
      <c r="B335" s="36"/>
      <c r="C335" s="36"/>
      <c r="E335" s="33"/>
      <c r="F335" s="33"/>
      <c r="G335" s="33"/>
      <c r="H335" s="33"/>
      <c r="I335" s="33"/>
      <c r="J335" s="36"/>
      <c r="K335" s="37"/>
      <c r="L335" s="375" t="s">
        <v>291</v>
      </c>
      <c r="M335" s="363" t="s">
        <v>1252</v>
      </c>
      <c r="N335" s="36" t="s">
        <v>1120</v>
      </c>
      <c r="O335" s="36" t="s">
        <v>1120</v>
      </c>
      <c r="P335" s="50"/>
      <c r="Q335" s="36" t="s">
        <v>1120</v>
      </c>
      <c r="R335" s="36"/>
      <c r="S335" s="36" t="s">
        <v>1120</v>
      </c>
      <c r="T335" s="36"/>
      <c r="U335" s="36" t="s">
        <v>1120</v>
      </c>
      <c r="V335" s="36"/>
      <c r="W335" s="36" t="s">
        <v>1120</v>
      </c>
      <c r="X335" s="36"/>
      <c r="Y335" s="36" t="s">
        <v>1120</v>
      </c>
      <c r="Z335" s="37"/>
      <c r="AA335" s="52"/>
      <c r="AB335" s="50"/>
      <c r="AC335" s="50"/>
      <c r="AD335" s="51"/>
      <c r="AE335" s="52"/>
      <c r="AF335" s="36"/>
    </row>
    <row r="336" spans="2:32" ht="42.75" x14ac:dyDescent="0.3">
      <c r="B336" s="36"/>
      <c r="C336" s="36"/>
      <c r="E336" s="33"/>
      <c r="F336" s="33"/>
      <c r="G336" s="33"/>
      <c r="H336" s="33"/>
      <c r="I336" s="33"/>
      <c r="J336" s="36"/>
      <c r="K336" s="37"/>
      <c r="L336" s="375" t="s">
        <v>291</v>
      </c>
      <c r="M336" s="363" t="s">
        <v>1253</v>
      </c>
      <c r="N336" s="36" t="s">
        <v>146</v>
      </c>
      <c r="O336" s="36" t="s">
        <v>146</v>
      </c>
      <c r="P336" s="50"/>
      <c r="Q336" s="36" t="s">
        <v>146</v>
      </c>
      <c r="R336" s="36"/>
      <c r="S336" s="36" t="s">
        <v>146</v>
      </c>
      <c r="T336" s="36"/>
      <c r="U336" s="36" t="s">
        <v>146</v>
      </c>
      <c r="V336" s="36"/>
      <c r="W336" s="36" t="s">
        <v>146</v>
      </c>
      <c r="X336" s="36"/>
      <c r="Y336" s="36" t="s">
        <v>146</v>
      </c>
      <c r="Z336" s="37"/>
      <c r="AA336" s="52"/>
      <c r="AB336" s="50"/>
      <c r="AC336" s="50"/>
      <c r="AD336" s="51"/>
      <c r="AE336" s="52"/>
      <c r="AF336" s="36"/>
    </row>
    <row r="337" spans="2:32" ht="28.5" x14ac:dyDescent="0.3">
      <c r="B337" s="36"/>
      <c r="C337" s="36"/>
      <c r="E337" s="33"/>
      <c r="F337" s="33"/>
      <c r="G337" s="33"/>
      <c r="H337" s="33"/>
      <c r="I337" s="33"/>
      <c r="J337" s="36"/>
      <c r="K337" s="37"/>
      <c r="L337" s="375" t="s">
        <v>291</v>
      </c>
      <c r="M337" s="363" t="s">
        <v>1254</v>
      </c>
      <c r="N337" s="36" t="s">
        <v>146</v>
      </c>
      <c r="O337" s="36" t="s">
        <v>146</v>
      </c>
      <c r="P337" s="50"/>
      <c r="Q337" s="36" t="s">
        <v>146</v>
      </c>
      <c r="R337" s="36"/>
      <c r="S337" s="36" t="s">
        <v>146</v>
      </c>
      <c r="T337" s="36"/>
      <c r="U337" s="36" t="s">
        <v>146</v>
      </c>
      <c r="V337" s="36"/>
      <c r="W337" s="36" t="s">
        <v>146</v>
      </c>
      <c r="X337" s="36"/>
      <c r="Y337" s="36" t="s">
        <v>146</v>
      </c>
      <c r="Z337" s="37"/>
      <c r="AA337" s="52"/>
      <c r="AB337" s="50"/>
      <c r="AC337" s="50"/>
      <c r="AD337" s="51"/>
      <c r="AE337" s="52"/>
      <c r="AF337" s="36"/>
    </row>
    <row r="338" spans="2:32" ht="42.75" x14ac:dyDescent="0.3">
      <c r="B338" s="36"/>
      <c r="C338" s="36"/>
      <c r="E338" s="33"/>
      <c r="F338" s="33"/>
      <c r="G338" s="33"/>
      <c r="H338" s="33"/>
      <c r="I338" s="33"/>
      <c r="J338" s="36"/>
      <c r="K338" s="374" t="s">
        <v>294</v>
      </c>
      <c r="L338" s="375" t="s">
        <v>291</v>
      </c>
      <c r="M338" s="362" t="s">
        <v>1422</v>
      </c>
      <c r="N338" s="41">
        <v>1</v>
      </c>
      <c r="O338" s="41">
        <v>1</v>
      </c>
      <c r="P338" s="50"/>
      <c r="Q338" s="41">
        <v>1</v>
      </c>
      <c r="R338" s="36"/>
      <c r="S338" s="41">
        <v>1</v>
      </c>
      <c r="T338" s="36"/>
      <c r="U338" s="41">
        <v>1</v>
      </c>
      <c r="V338" s="36"/>
      <c r="W338" s="41">
        <v>1</v>
      </c>
      <c r="X338" s="36"/>
      <c r="Y338" s="41">
        <v>1</v>
      </c>
      <c r="Z338" s="37"/>
      <c r="AA338" s="52"/>
      <c r="AB338" s="50"/>
      <c r="AC338" s="50"/>
      <c r="AD338" s="51"/>
      <c r="AE338" s="52"/>
      <c r="AF338" s="36"/>
    </row>
    <row r="339" spans="2:32" x14ac:dyDescent="0.3">
      <c r="B339" s="36"/>
      <c r="C339" s="36"/>
      <c r="E339" s="33"/>
      <c r="F339" s="33"/>
      <c r="G339" s="33"/>
      <c r="H339" s="33"/>
      <c r="I339" s="33"/>
      <c r="J339" s="36"/>
      <c r="K339" s="374" t="s">
        <v>295</v>
      </c>
      <c r="L339" s="375" t="s">
        <v>291</v>
      </c>
      <c r="M339" s="384" t="s">
        <v>1423</v>
      </c>
      <c r="N339" s="36"/>
      <c r="O339" s="36"/>
      <c r="P339" s="50"/>
      <c r="Q339" s="36"/>
      <c r="R339" s="36"/>
      <c r="S339" s="36"/>
      <c r="T339" s="36"/>
      <c r="U339" s="36"/>
      <c r="V339" s="36"/>
      <c r="W339" s="36"/>
      <c r="X339" s="36"/>
      <c r="Y339" s="36"/>
      <c r="Z339" s="37"/>
      <c r="AA339" s="52"/>
      <c r="AB339" s="50"/>
      <c r="AC339" s="50"/>
      <c r="AD339" s="51"/>
      <c r="AE339" s="52"/>
      <c r="AF339" s="36"/>
    </row>
    <row r="340" spans="2:32" x14ac:dyDescent="0.3">
      <c r="B340" s="92"/>
      <c r="C340" s="92"/>
      <c r="D340" s="445"/>
      <c r="E340" s="91"/>
      <c r="F340" s="91"/>
      <c r="G340" s="91"/>
      <c r="H340" s="91"/>
      <c r="I340" s="91"/>
      <c r="J340" s="92"/>
      <c r="K340" s="377" t="s">
        <v>297</v>
      </c>
      <c r="L340" s="378" t="s">
        <v>291</v>
      </c>
      <c r="M340" s="385" t="s">
        <v>1424</v>
      </c>
      <c r="N340" s="92"/>
      <c r="O340" s="92"/>
      <c r="P340" s="93"/>
      <c r="Q340" s="92"/>
      <c r="R340" s="92"/>
      <c r="S340" s="92"/>
      <c r="T340" s="92"/>
      <c r="U340" s="92"/>
      <c r="V340" s="92"/>
      <c r="W340" s="92"/>
      <c r="X340" s="92"/>
      <c r="Y340" s="92"/>
      <c r="Z340" s="101"/>
      <c r="AA340" s="95"/>
      <c r="AB340" s="93"/>
      <c r="AC340" s="93"/>
      <c r="AD340" s="94"/>
      <c r="AE340" s="95"/>
      <c r="AF340" s="92"/>
    </row>
    <row r="341" spans="2:32" x14ac:dyDescent="0.3">
      <c r="B341" s="36"/>
      <c r="C341" s="36"/>
      <c r="E341" s="33"/>
      <c r="F341" s="33"/>
      <c r="G341" s="33"/>
      <c r="H341" s="33"/>
      <c r="I341" s="33"/>
      <c r="J341" s="36"/>
      <c r="K341" s="37"/>
      <c r="L341" s="46"/>
      <c r="M341" s="363"/>
      <c r="N341" s="36"/>
      <c r="O341" s="36"/>
      <c r="P341" s="50"/>
      <c r="Q341" s="36"/>
      <c r="R341" s="36"/>
      <c r="S341" s="36"/>
      <c r="T341" s="36"/>
      <c r="U341" s="36"/>
      <c r="V341" s="36"/>
      <c r="W341" s="36"/>
      <c r="X341" s="36"/>
      <c r="Y341" s="36"/>
      <c r="Z341" s="37"/>
      <c r="AA341" s="52"/>
      <c r="AB341" s="50"/>
      <c r="AC341" s="50"/>
      <c r="AD341" s="51"/>
      <c r="AE341" s="52"/>
      <c r="AF341" s="36"/>
    </row>
    <row r="342" spans="2:32" x14ac:dyDescent="0.3">
      <c r="B342" s="36"/>
      <c r="C342" s="36"/>
      <c r="E342" s="33">
        <v>1</v>
      </c>
      <c r="F342" s="70" t="s">
        <v>131</v>
      </c>
      <c r="G342" s="70" t="s">
        <v>131</v>
      </c>
      <c r="H342" s="33">
        <v>15</v>
      </c>
      <c r="I342" s="34">
        <v>8</v>
      </c>
      <c r="J342" s="36" t="s">
        <v>147</v>
      </c>
      <c r="K342" s="374" t="s">
        <v>290</v>
      </c>
      <c r="L342" s="375" t="s">
        <v>291</v>
      </c>
      <c r="M342" s="375" t="s">
        <v>292</v>
      </c>
      <c r="N342" s="36" t="s">
        <v>301</v>
      </c>
      <c r="O342" s="36" t="s">
        <v>301</v>
      </c>
      <c r="P342" s="50">
        <v>1429238500</v>
      </c>
      <c r="Q342" s="36" t="s">
        <v>301</v>
      </c>
      <c r="R342" s="431">
        <f>P342+(P342*10%)</f>
        <v>1572162350</v>
      </c>
      <c r="S342" s="36" t="s">
        <v>301</v>
      </c>
      <c r="T342" s="431">
        <f>R342+(R342*10%)</f>
        <v>1729378585</v>
      </c>
      <c r="U342" s="36" t="s">
        <v>301</v>
      </c>
      <c r="V342" s="431">
        <f>T342+(T342*10%)</f>
        <v>1902316443.5</v>
      </c>
      <c r="W342" s="36" t="s">
        <v>301</v>
      </c>
      <c r="X342" s="431">
        <f>V342+(V342*10%)</f>
        <v>2092548087.8499999</v>
      </c>
      <c r="Y342" s="36" t="s">
        <v>301</v>
      </c>
      <c r="Z342" s="431">
        <f>X342+V342+T342+R342+P342</f>
        <v>8725643966.3500004</v>
      </c>
      <c r="AA342" s="52" t="s">
        <v>140</v>
      </c>
      <c r="AB342" s="50"/>
      <c r="AC342" s="50"/>
      <c r="AD342" s="51"/>
      <c r="AE342" s="52"/>
      <c r="AF342" s="36" t="s">
        <v>75</v>
      </c>
    </row>
    <row r="343" spans="2:32" ht="57" x14ac:dyDescent="0.3">
      <c r="B343" s="36"/>
      <c r="C343" s="36"/>
      <c r="E343" s="33"/>
      <c r="F343" s="33"/>
      <c r="G343" s="33"/>
      <c r="H343" s="33"/>
      <c r="I343" s="33"/>
      <c r="J343" s="36"/>
      <c r="K343" s="374" t="s">
        <v>293</v>
      </c>
      <c r="L343" s="375" t="s">
        <v>291</v>
      </c>
      <c r="M343" s="363" t="s">
        <v>551</v>
      </c>
      <c r="N343" s="36" t="s">
        <v>1119</v>
      </c>
      <c r="O343" s="36" t="s">
        <v>1119</v>
      </c>
      <c r="P343" s="50"/>
      <c r="Q343" s="36" t="s">
        <v>1119</v>
      </c>
      <c r="R343" s="36"/>
      <c r="S343" s="36" t="s">
        <v>1119</v>
      </c>
      <c r="T343" s="36"/>
      <c r="U343" s="36" t="s">
        <v>1119</v>
      </c>
      <c r="V343" s="36"/>
      <c r="W343" s="36" t="s">
        <v>1119</v>
      </c>
      <c r="X343" s="36"/>
      <c r="Y343" s="36" t="s">
        <v>1119</v>
      </c>
      <c r="Z343" s="37"/>
      <c r="AA343" s="52"/>
      <c r="AB343" s="50"/>
      <c r="AC343" s="50"/>
      <c r="AD343" s="51"/>
      <c r="AE343" s="52"/>
      <c r="AF343" s="36"/>
    </row>
    <row r="344" spans="2:32" x14ac:dyDescent="0.3">
      <c r="B344" s="36"/>
      <c r="C344" s="36"/>
      <c r="E344" s="33"/>
      <c r="F344" s="33"/>
      <c r="G344" s="33"/>
      <c r="H344" s="33"/>
      <c r="I344" s="33"/>
      <c r="J344" s="36"/>
      <c r="K344" s="37"/>
      <c r="L344" s="375" t="s">
        <v>291</v>
      </c>
      <c r="M344" s="363" t="s">
        <v>552</v>
      </c>
      <c r="N344" s="36"/>
      <c r="O344" s="36"/>
      <c r="P344" s="50"/>
      <c r="Q344" s="36"/>
      <c r="R344" s="36"/>
      <c r="S344" s="36"/>
      <c r="T344" s="36"/>
      <c r="U344" s="36"/>
      <c r="V344" s="36"/>
      <c r="W344" s="36"/>
      <c r="X344" s="36"/>
      <c r="Y344" s="36"/>
      <c r="Z344" s="37"/>
      <c r="AA344" s="52"/>
      <c r="AB344" s="50"/>
      <c r="AC344" s="50"/>
      <c r="AD344" s="51"/>
      <c r="AE344" s="52"/>
      <c r="AF344" s="36"/>
    </row>
    <row r="345" spans="2:32" ht="28.5" x14ac:dyDescent="0.3">
      <c r="B345" s="36"/>
      <c r="C345" s="36"/>
      <c r="E345" s="33"/>
      <c r="F345" s="33"/>
      <c r="G345" s="33"/>
      <c r="H345" s="33"/>
      <c r="I345" s="33"/>
      <c r="J345" s="36"/>
      <c r="K345" s="37"/>
      <c r="L345" s="375" t="s">
        <v>291</v>
      </c>
      <c r="M345" s="363" t="s">
        <v>553</v>
      </c>
      <c r="N345" s="36" t="s">
        <v>554</v>
      </c>
      <c r="O345" s="36" t="s">
        <v>554</v>
      </c>
      <c r="P345" s="50"/>
      <c r="Q345" s="36" t="s">
        <v>554</v>
      </c>
      <c r="R345" s="36"/>
      <c r="S345" s="36" t="s">
        <v>554</v>
      </c>
      <c r="T345" s="36"/>
      <c r="U345" s="36" t="s">
        <v>554</v>
      </c>
      <c r="V345" s="36"/>
      <c r="W345" s="36" t="s">
        <v>554</v>
      </c>
      <c r="X345" s="36"/>
      <c r="Y345" s="36" t="s">
        <v>554</v>
      </c>
      <c r="Z345" s="37"/>
      <c r="AA345" s="52"/>
      <c r="AB345" s="50"/>
      <c r="AC345" s="50"/>
      <c r="AD345" s="51"/>
      <c r="AE345" s="52"/>
      <c r="AF345" s="36"/>
    </row>
    <row r="346" spans="2:32" s="76" customFormat="1" ht="28.5" x14ac:dyDescent="0.3">
      <c r="B346" s="36"/>
      <c r="C346" s="36"/>
      <c r="D346" s="433"/>
      <c r="E346" s="33"/>
      <c r="F346" s="33"/>
      <c r="G346" s="33"/>
      <c r="H346" s="33"/>
      <c r="I346" s="33"/>
      <c r="J346" s="36"/>
      <c r="K346" s="37"/>
      <c r="L346" s="375" t="s">
        <v>291</v>
      </c>
      <c r="M346" s="363" t="s">
        <v>1255</v>
      </c>
      <c r="N346" s="36" t="s">
        <v>520</v>
      </c>
      <c r="O346" s="36" t="s">
        <v>520</v>
      </c>
      <c r="P346" s="50"/>
      <c r="Q346" s="36" t="s">
        <v>520</v>
      </c>
      <c r="R346" s="36"/>
      <c r="S346" s="36" t="s">
        <v>520</v>
      </c>
      <c r="T346" s="36"/>
      <c r="U346" s="36" t="s">
        <v>520</v>
      </c>
      <c r="V346" s="36"/>
      <c r="W346" s="36" t="s">
        <v>520</v>
      </c>
      <c r="X346" s="36"/>
      <c r="Y346" s="36" t="s">
        <v>520</v>
      </c>
      <c r="Z346" s="37"/>
      <c r="AA346" s="52" t="s">
        <v>140</v>
      </c>
      <c r="AB346" s="50">
        <f>1200000-31900</f>
        <v>1168100</v>
      </c>
      <c r="AC346" s="50">
        <f>AB346+(AB346*10%)</f>
        <v>1284910</v>
      </c>
      <c r="AD346" s="51" t="s">
        <v>140</v>
      </c>
      <c r="AE346" s="52" t="s">
        <v>81</v>
      </c>
      <c r="AF346" s="36" t="s">
        <v>148</v>
      </c>
    </row>
    <row r="347" spans="2:32" s="76" customFormat="1" ht="42.75" x14ac:dyDescent="0.3">
      <c r="B347" s="36"/>
      <c r="C347" s="36"/>
      <c r="D347" s="433"/>
      <c r="E347" s="33"/>
      <c r="F347" s="33"/>
      <c r="G347" s="33"/>
      <c r="H347" s="33"/>
      <c r="I347" s="33"/>
      <c r="J347" s="36"/>
      <c r="K347" s="37"/>
      <c r="L347" s="375" t="s">
        <v>291</v>
      </c>
      <c r="M347" s="363" t="s">
        <v>1256</v>
      </c>
      <c r="N347" s="36" t="s">
        <v>556</v>
      </c>
      <c r="O347" s="36" t="s">
        <v>556</v>
      </c>
      <c r="P347" s="50"/>
      <c r="Q347" s="36" t="s">
        <v>556</v>
      </c>
      <c r="R347" s="36"/>
      <c r="S347" s="36" t="s">
        <v>556</v>
      </c>
      <c r="T347" s="36"/>
      <c r="U347" s="36" t="s">
        <v>556</v>
      </c>
      <c r="V347" s="36"/>
      <c r="W347" s="36" t="s">
        <v>556</v>
      </c>
      <c r="X347" s="36"/>
      <c r="Y347" s="36" t="s">
        <v>556</v>
      </c>
      <c r="Z347" s="37"/>
      <c r="AA347" s="52"/>
      <c r="AB347" s="50"/>
      <c r="AC347" s="50"/>
      <c r="AD347" s="51"/>
      <c r="AE347" s="52"/>
      <c r="AF347" s="36"/>
    </row>
    <row r="348" spans="2:32" s="76" customFormat="1" ht="42.75" x14ac:dyDescent="0.3">
      <c r="B348" s="36"/>
      <c r="C348" s="36"/>
      <c r="D348" s="433"/>
      <c r="E348" s="33"/>
      <c r="F348" s="33"/>
      <c r="G348" s="33"/>
      <c r="H348" s="33"/>
      <c r="I348" s="33"/>
      <c r="J348" s="36"/>
      <c r="K348" s="374" t="s">
        <v>294</v>
      </c>
      <c r="L348" s="375" t="s">
        <v>291</v>
      </c>
      <c r="M348" s="362" t="s">
        <v>1425</v>
      </c>
      <c r="N348" s="41">
        <v>1</v>
      </c>
      <c r="O348" s="41">
        <v>1</v>
      </c>
      <c r="P348" s="50"/>
      <c r="Q348" s="41">
        <v>1</v>
      </c>
      <c r="R348" s="36"/>
      <c r="S348" s="41">
        <v>1</v>
      </c>
      <c r="T348" s="36"/>
      <c r="U348" s="41">
        <v>1</v>
      </c>
      <c r="V348" s="36"/>
      <c r="W348" s="41">
        <v>1</v>
      </c>
      <c r="X348" s="36"/>
      <c r="Y348" s="41">
        <v>1</v>
      </c>
      <c r="Z348" s="37"/>
      <c r="AA348" s="52"/>
      <c r="AB348" s="50"/>
      <c r="AC348" s="50"/>
      <c r="AD348" s="51"/>
      <c r="AE348" s="52"/>
      <c r="AF348" s="36"/>
    </row>
    <row r="349" spans="2:32" s="76" customFormat="1" x14ac:dyDescent="0.3">
      <c r="B349" s="36"/>
      <c r="C349" s="36"/>
      <c r="D349" s="433"/>
      <c r="E349" s="33"/>
      <c r="F349" s="33"/>
      <c r="G349" s="33"/>
      <c r="H349" s="33"/>
      <c r="I349" s="33"/>
      <c r="J349" s="36"/>
      <c r="K349" s="374" t="s">
        <v>295</v>
      </c>
      <c r="L349" s="375" t="s">
        <v>291</v>
      </c>
      <c r="M349" s="384" t="s">
        <v>1423</v>
      </c>
      <c r="N349" s="36"/>
      <c r="O349" s="36"/>
      <c r="P349" s="50"/>
      <c r="Q349" s="36"/>
      <c r="R349" s="36"/>
      <c r="S349" s="36"/>
      <c r="T349" s="36"/>
      <c r="U349" s="36"/>
      <c r="V349" s="36"/>
      <c r="W349" s="36"/>
      <c r="X349" s="36"/>
      <c r="Y349" s="36"/>
      <c r="Z349" s="37"/>
      <c r="AA349" s="52"/>
      <c r="AB349" s="50"/>
      <c r="AC349" s="50"/>
      <c r="AD349" s="51"/>
      <c r="AE349" s="52"/>
      <c r="AF349" s="36"/>
    </row>
    <row r="350" spans="2:32" s="76" customFormat="1" x14ac:dyDescent="0.3">
      <c r="B350" s="92"/>
      <c r="C350" s="92"/>
      <c r="D350" s="445"/>
      <c r="E350" s="91"/>
      <c r="F350" s="91"/>
      <c r="G350" s="91"/>
      <c r="H350" s="91"/>
      <c r="I350" s="91"/>
      <c r="J350" s="92"/>
      <c r="K350" s="377" t="s">
        <v>297</v>
      </c>
      <c r="L350" s="378" t="s">
        <v>291</v>
      </c>
      <c r="M350" s="385" t="s">
        <v>1424</v>
      </c>
      <c r="N350" s="92"/>
      <c r="O350" s="92"/>
      <c r="P350" s="93"/>
      <c r="Q350" s="92"/>
      <c r="R350" s="92"/>
      <c r="S350" s="92"/>
      <c r="T350" s="92"/>
      <c r="U350" s="92"/>
      <c r="V350" s="92"/>
      <c r="W350" s="92"/>
      <c r="X350" s="92"/>
      <c r="Y350" s="92"/>
      <c r="Z350" s="101"/>
      <c r="AA350" s="95"/>
      <c r="AB350" s="93"/>
      <c r="AC350" s="93"/>
      <c r="AD350" s="94"/>
      <c r="AE350" s="95"/>
      <c r="AF350" s="92"/>
    </row>
    <row r="351" spans="2:32" s="76" customFormat="1" x14ac:dyDescent="0.3">
      <c r="B351" s="36"/>
      <c r="C351" s="36"/>
      <c r="D351" s="433"/>
      <c r="E351" s="33"/>
      <c r="F351" s="33"/>
      <c r="G351" s="33"/>
      <c r="H351" s="33"/>
      <c r="I351" s="33"/>
      <c r="J351" s="36"/>
      <c r="K351" s="37"/>
      <c r="L351" s="46"/>
      <c r="M351" s="363"/>
      <c r="N351" s="36"/>
      <c r="O351" s="36"/>
      <c r="P351" s="50"/>
      <c r="Q351" s="36"/>
      <c r="R351" s="36"/>
      <c r="S351" s="36"/>
      <c r="T351" s="36"/>
      <c r="U351" s="36"/>
      <c r="V351" s="36"/>
      <c r="W351" s="36"/>
      <c r="X351" s="36"/>
      <c r="Y351" s="36"/>
      <c r="Z351" s="37"/>
      <c r="AA351" s="52"/>
      <c r="AB351" s="50"/>
      <c r="AC351" s="50"/>
      <c r="AD351" s="51"/>
      <c r="AE351" s="52"/>
      <c r="AF351" s="36"/>
    </row>
    <row r="352" spans="2:32" s="76" customFormat="1" x14ac:dyDescent="0.3">
      <c r="B352" s="36"/>
      <c r="C352" s="36"/>
      <c r="D352" s="433"/>
      <c r="E352" s="33">
        <v>1</v>
      </c>
      <c r="F352" s="70" t="s">
        <v>131</v>
      </c>
      <c r="G352" s="70" t="s">
        <v>131</v>
      </c>
      <c r="H352" s="33">
        <v>15</v>
      </c>
      <c r="I352" s="34">
        <v>9</v>
      </c>
      <c r="J352" s="36" t="s">
        <v>149</v>
      </c>
      <c r="K352" s="374" t="s">
        <v>290</v>
      </c>
      <c r="L352" s="375" t="s">
        <v>291</v>
      </c>
      <c r="M352" s="375" t="s">
        <v>292</v>
      </c>
      <c r="N352" s="36" t="s">
        <v>301</v>
      </c>
      <c r="O352" s="36" t="s">
        <v>301</v>
      </c>
      <c r="P352" s="50">
        <v>15050000</v>
      </c>
      <c r="Q352" s="36" t="s">
        <v>301</v>
      </c>
      <c r="R352" s="431">
        <f>P352+(P352*10%)</f>
        <v>16555000</v>
      </c>
      <c r="S352" s="36" t="s">
        <v>301</v>
      </c>
      <c r="T352" s="431">
        <f>R352+(R352*10%)</f>
        <v>18210500</v>
      </c>
      <c r="U352" s="36" t="s">
        <v>301</v>
      </c>
      <c r="V352" s="431">
        <f>T352+(T352*10%)</f>
        <v>20031550</v>
      </c>
      <c r="W352" s="36" t="s">
        <v>301</v>
      </c>
      <c r="X352" s="431">
        <f>V352+(V352*10%)</f>
        <v>22034705</v>
      </c>
      <c r="Y352" s="36" t="s">
        <v>301</v>
      </c>
      <c r="Z352" s="431">
        <f>X352+V352+T352+R352+P352</f>
        <v>91881755</v>
      </c>
      <c r="AA352" s="52" t="s">
        <v>140</v>
      </c>
      <c r="AB352" s="50"/>
      <c r="AC352" s="50"/>
      <c r="AD352" s="51"/>
      <c r="AE352" s="52"/>
      <c r="AF352" s="36" t="s">
        <v>150</v>
      </c>
    </row>
    <row r="353" spans="2:32" s="76" customFormat="1" ht="28.5" x14ac:dyDescent="0.3">
      <c r="B353" s="36"/>
      <c r="C353" s="36"/>
      <c r="D353" s="433"/>
      <c r="E353" s="33"/>
      <c r="F353" s="70"/>
      <c r="G353" s="70"/>
      <c r="H353" s="33"/>
      <c r="I353" s="34"/>
      <c r="J353" s="36"/>
      <c r="K353" s="374" t="s">
        <v>293</v>
      </c>
      <c r="L353" s="375" t="s">
        <v>291</v>
      </c>
      <c r="M353" s="362" t="s">
        <v>1257</v>
      </c>
      <c r="N353" s="36" t="s">
        <v>432</v>
      </c>
      <c r="O353" s="36" t="s">
        <v>432</v>
      </c>
      <c r="P353" s="50"/>
      <c r="Q353" s="36" t="s">
        <v>432</v>
      </c>
      <c r="R353" s="36"/>
      <c r="S353" s="36" t="s">
        <v>432</v>
      </c>
      <c r="T353" s="36"/>
      <c r="U353" s="36" t="s">
        <v>432</v>
      </c>
      <c r="V353" s="36"/>
      <c r="W353" s="36" t="s">
        <v>432</v>
      </c>
      <c r="X353" s="36"/>
      <c r="Y353" s="36" t="s">
        <v>432</v>
      </c>
      <c r="Z353" s="37"/>
      <c r="AA353" s="52"/>
      <c r="AB353" s="50">
        <v>31900</v>
      </c>
      <c r="AC353" s="50">
        <f>AB353+(AB353*10%)</f>
        <v>35090</v>
      </c>
      <c r="AD353" s="51" t="s">
        <v>140</v>
      </c>
      <c r="AE353" s="52" t="s">
        <v>81</v>
      </c>
      <c r="AF353" s="36"/>
    </row>
    <row r="354" spans="2:32" s="76" customFormat="1" ht="28.5" x14ac:dyDescent="0.3">
      <c r="B354" s="36"/>
      <c r="C354" s="36"/>
      <c r="D354" s="433"/>
      <c r="E354" s="33"/>
      <c r="F354" s="70"/>
      <c r="G354" s="70"/>
      <c r="H354" s="33"/>
      <c r="I354" s="34"/>
      <c r="J354" s="36"/>
      <c r="K354" s="374" t="s">
        <v>294</v>
      </c>
      <c r="L354" s="375" t="s">
        <v>291</v>
      </c>
      <c r="M354" s="362" t="s">
        <v>1426</v>
      </c>
      <c r="N354" s="41">
        <v>1</v>
      </c>
      <c r="O354" s="41">
        <v>1</v>
      </c>
      <c r="P354" s="50"/>
      <c r="Q354" s="41">
        <v>1</v>
      </c>
      <c r="R354" s="36"/>
      <c r="S354" s="41">
        <v>1</v>
      </c>
      <c r="T354" s="36"/>
      <c r="U354" s="41">
        <v>1</v>
      </c>
      <c r="V354" s="36"/>
      <c r="W354" s="41">
        <v>1</v>
      </c>
      <c r="X354" s="36"/>
      <c r="Y354" s="41">
        <v>1</v>
      </c>
      <c r="Z354" s="37"/>
      <c r="AA354" s="52"/>
      <c r="AB354" s="50"/>
      <c r="AC354" s="50"/>
      <c r="AD354" s="51"/>
      <c r="AE354" s="52"/>
      <c r="AF354" s="36"/>
    </row>
    <row r="355" spans="2:32" s="76" customFormat="1" x14ac:dyDescent="0.3">
      <c r="B355" s="36"/>
      <c r="C355" s="36"/>
      <c r="D355" s="433"/>
      <c r="E355" s="33"/>
      <c r="F355" s="70"/>
      <c r="G355" s="70"/>
      <c r="H355" s="33"/>
      <c r="I355" s="34"/>
      <c r="J355" s="36"/>
      <c r="K355" s="374" t="s">
        <v>295</v>
      </c>
      <c r="L355" s="375" t="s">
        <v>291</v>
      </c>
      <c r="M355" s="384" t="s">
        <v>1427</v>
      </c>
      <c r="N355" s="36"/>
      <c r="O355" s="36"/>
      <c r="P355" s="50"/>
      <c r="Q355" s="36"/>
      <c r="R355" s="36"/>
      <c r="S355" s="36"/>
      <c r="T355" s="36"/>
      <c r="U355" s="36"/>
      <c r="V355" s="36"/>
      <c r="W355" s="36"/>
      <c r="X355" s="36"/>
      <c r="Y355" s="36"/>
      <c r="Z355" s="37"/>
      <c r="AA355" s="52"/>
      <c r="AB355" s="50"/>
      <c r="AC355" s="50"/>
      <c r="AD355" s="51"/>
      <c r="AE355" s="52"/>
      <c r="AF355" s="36"/>
    </row>
    <row r="356" spans="2:32" s="76" customFormat="1" x14ac:dyDescent="0.3">
      <c r="B356" s="92"/>
      <c r="C356" s="92"/>
      <c r="D356" s="445"/>
      <c r="E356" s="91"/>
      <c r="F356" s="409"/>
      <c r="G356" s="409"/>
      <c r="H356" s="91"/>
      <c r="I356" s="376"/>
      <c r="J356" s="92"/>
      <c r="K356" s="377" t="s">
        <v>297</v>
      </c>
      <c r="L356" s="378" t="s">
        <v>291</v>
      </c>
      <c r="M356" s="385" t="s">
        <v>1424</v>
      </c>
      <c r="N356" s="92"/>
      <c r="O356" s="92"/>
      <c r="P356" s="93"/>
      <c r="Q356" s="92"/>
      <c r="R356" s="92"/>
      <c r="S356" s="92"/>
      <c r="T356" s="92"/>
      <c r="U356" s="92"/>
      <c r="V356" s="92"/>
      <c r="W356" s="92"/>
      <c r="X356" s="92"/>
      <c r="Y356" s="92"/>
      <c r="Z356" s="101"/>
      <c r="AA356" s="95"/>
      <c r="AB356" s="93"/>
      <c r="AC356" s="93"/>
      <c r="AD356" s="94"/>
      <c r="AE356" s="95"/>
      <c r="AF356" s="92"/>
    </row>
    <row r="357" spans="2:32" s="76" customFormat="1" x14ac:dyDescent="0.3">
      <c r="B357" s="36"/>
      <c r="C357" s="36"/>
      <c r="D357" s="433"/>
      <c r="E357" s="33"/>
      <c r="F357" s="70"/>
      <c r="G357" s="70"/>
      <c r="H357" s="33"/>
      <c r="I357" s="34"/>
      <c r="J357" s="36"/>
      <c r="K357" s="374"/>
      <c r="L357" s="375"/>
      <c r="M357" s="362"/>
      <c r="N357" s="36"/>
      <c r="O357" s="36"/>
      <c r="P357" s="50"/>
      <c r="Q357" s="36"/>
      <c r="R357" s="36"/>
      <c r="S357" s="36"/>
      <c r="T357" s="36"/>
      <c r="U357" s="36"/>
      <c r="V357" s="36"/>
      <c r="W357" s="36"/>
      <c r="X357" s="36"/>
      <c r="Y357" s="36"/>
      <c r="Z357" s="37"/>
      <c r="AA357" s="52"/>
      <c r="AB357" s="50"/>
      <c r="AC357" s="50"/>
      <c r="AD357" s="51"/>
      <c r="AE357" s="52"/>
      <c r="AF357" s="36"/>
    </row>
    <row r="358" spans="2:32" s="76" customFormat="1" ht="28.5" x14ac:dyDescent="0.3">
      <c r="B358" s="36"/>
      <c r="C358" s="36"/>
      <c r="D358" s="433"/>
      <c r="E358" s="33">
        <v>1</v>
      </c>
      <c r="F358" s="70" t="s">
        <v>131</v>
      </c>
      <c r="G358" s="70" t="s">
        <v>131</v>
      </c>
      <c r="H358" s="33">
        <v>15</v>
      </c>
      <c r="I358" s="34">
        <v>11</v>
      </c>
      <c r="J358" s="36" t="s">
        <v>151</v>
      </c>
      <c r="K358" s="374" t="s">
        <v>290</v>
      </c>
      <c r="L358" s="375" t="s">
        <v>291</v>
      </c>
      <c r="M358" s="375" t="s">
        <v>292</v>
      </c>
      <c r="N358" s="36" t="s">
        <v>301</v>
      </c>
      <c r="O358" s="36" t="s">
        <v>301</v>
      </c>
      <c r="P358" s="50">
        <v>6643000</v>
      </c>
      <c r="Q358" s="36" t="s">
        <v>301</v>
      </c>
      <c r="R358" s="431">
        <f>P358+(P358*10%)</f>
        <v>7307300</v>
      </c>
      <c r="S358" s="36" t="s">
        <v>301</v>
      </c>
      <c r="T358" s="431">
        <f>R358+(R358*10%)</f>
        <v>8038030</v>
      </c>
      <c r="U358" s="36" t="s">
        <v>301</v>
      </c>
      <c r="V358" s="431">
        <f>T358+(T358*10%)</f>
        <v>8841833</v>
      </c>
      <c r="W358" s="36" t="s">
        <v>301</v>
      </c>
      <c r="X358" s="431">
        <f>V358+(V358*10%)</f>
        <v>9726016.3000000007</v>
      </c>
      <c r="Y358" s="36" t="s">
        <v>301</v>
      </c>
      <c r="Z358" s="431">
        <f>X358+V358+T358+R358+P358</f>
        <v>40556179.299999997</v>
      </c>
      <c r="AA358" s="52" t="s">
        <v>140</v>
      </c>
      <c r="AB358" s="50"/>
      <c r="AC358" s="50"/>
      <c r="AD358" s="51"/>
      <c r="AE358" s="52"/>
      <c r="AF358" s="36" t="s">
        <v>152</v>
      </c>
    </row>
    <row r="359" spans="2:32" s="76" customFormat="1" ht="42.75" x14ac:dyDescent="0.3">
      <c r="B359" s="36"/>
      <c r="C359" s="36"/>
      <c r="D359" s="433"/>
      <c r="E359" s="77"/>
      <c r="F359" s="77"/>
      <c r="G359" s="77"/>
      <c r="H359" s="77"/>
      <c r="I359" s="77"/>
      <c r="J359" s="78"/>
      <c r="K359" s="374" t="s">
        <v>293</v>
      </c>
      <c r="L359" s="375" t="s">
        <v>291</v>
      </c>
      <c r="M359" s="362" t="s">
        <v>1258</v>
      </c>
      <c r="N359" s="36" t="s">
        <v>432</v>
      </c>
      <c r="O359" s="36" t="s">
        <v>432</v>
      </c>
      <c r="P359" s="79"/>
      <c r="Q359" s="36" t="s">
        <v>432</v>
      </c>
      <c r="R359" s="36"/>
      <c r="S359" s="36" t="s">
        <v>432</v>
      </c>
      <c r="T359" s="36"/>
      <c r="U359" s="36" t="s">
        <v>432</v>
      </c>
      <c r="V359" s="36"/>
      <c r="W359" s="36" t="s">
        <v>432</v>
      </c>
      <c r="X359" s="36"/>
      <c r="Y359" s="36" t="s">
        <v>432</v>
      </c>
      <c r="Z359" s="37"/>
      <c r="AA359" s="80"/>
      <c r="AB359" s="50">
        <v>20000</v>
      </c>
      <c r="AC359" s="50">
        <f>AB359</f>
        <v>20000</v>
      </c>
      <c r="AD359" s="51" t="s">
        <v>140</v>
      </c>
      <c r="AE359" s="52" t="s">
        <v>81</v>
      </c>
      <c r="AF359" s="78"/>
    </row>
    <row r="360" spans="2:32" s="76" customFormat="1" ht="28.5" x14ac:dyDescent="0.3">
      <c r="B360" s="36"/>
      <c r="C360" s="36"/>
      <c r="D360" s="433"/>
      <c r="E360" s="77"/>
      <c r="F360" s="77"/>
      <c r="G360" s="77"/>
      <c r="H360" s="77"/>
      <c r="I360" s="77"/>
      <c r="J360" s="78"/>
      <c r="K360" s="374" t="s">
        <v>294</v>
      </c>
      <c r="L360" s="375" t="s">
        <v>291</v>
      </c>
      <c r="M360" s="362" t="s">
        <v>1428</v>
      </c>
      <c r="N360" s="41">
        <v>1</v>
      </c>
      <c r="O360" s="41">
        <v>1</v>
      </c>
      <c r="P360" s="79"/>
      <c r="Q360" s="41">
        <v>1</v>
      </c>
      <c r="R360" s="36"/>
      <c r="S360" s="41">
        <v>1</v>
      </c>
      <c r="T360" s="36"/>
      <c r="U360" s="41">
        <v>1</v>
      </c>
      <c r="V360" s="36"/>
      <c r="W360" s="41">
        <v>1</v>
      </c>
      <c r="X360" s="36"/>
      <c r="Y360" s="41">
        <v>1</v>
      </c>
      <c r="Z360" s="37"/>
      <c r="AA360" s="80"/>
      <c r="AB360" s="50"/>
      <c r="AC360" s="50"/>
      <c r="AD360" s="51"/>
      <c r="AE360" s="52"/>
      <c r="AF360" s="78"/>
    </row>
    <row r="361" spans="2:32" s="76" customFormat="1" ht="42.75" x14ac:dyDescent="0.3">
      <c r="B361" s="36"/>
      <c r="C361" s="36"/>
      <c r="D361" s="433"/>
      <c r="E361" s="77"/>
      <c r="F361" s="77"/>
      <c r="G361" s="77"/>
      <c r="H361" s="77"/>
      <c r="I361" s="77"/>
      <c r="J361" s="78"/>
      <c r="K361" s="374" t="s">
        <v>295</v>
      </c>
      <c r="L361" s="375" t="s">
        <v>291</v>
      </c>
      <c r="M361" s="362" t="s">
        <v>1429</v>
      </c>
      <c r="N361" s="36"/>
      <c r="O361" s="36"/>
      <c r="P361" s="79"/>
      <c r="Q361" s="36"/>
      <c r="R361" s="36"/>
      <c r="S361" s="36"/>
      <c r="T361" s="36"/>
      <c r="U361" s="36"/>
      <c r="V361" s="36"/>
      <c r="W361" s="36"/>
      <c r="X361" s="36"/>
      <c r="Y361" s="36"/>
      <c r="Z361" s="37"/>
      <c r="AA361" s="80"/>
      <c r="AB361" s="50"/>
      <c r="AC361" s="50"/>
      <c r="AD361" s="51"/>
      <c r="AE361" s="52"/>
      <c r="AF361" s="78"/>
    </row>
    <row r="362" spans="2:32" s="76" customFormat="1" x14ac:dyDescent="0.3">
      <c r="B362" s="92"/>
      <c r="C362" s="92"/>
      <c r="D362" s="445"/>
      <c r="E362" s="410"/>
      <c r="F362" s="410"/>
      <c r="G362" s="410"/>
      <c r="H362" s="410"/>
      <c r="I362" s="410"/>
      <c r="J362" s="411"/>
      <c r="K362" s="377" t="s">
        <v>297</v>
      </c>
      <c r="L362" s="378" t="s">
        <v>291</v>
      </c>
      <c r="M362" s="386" t="s">
        <v>1430</v>
      </c>
      <c r="N362" s="92"/>
      <c r="O362" s="92"/>
      <c r="P362" s="412"/>
      <c r="Q362" s="92"/>
      <c r="R362" s="92"/>
      <c r="S362" s="92"/>
      <c r="T362" s="92"/>
      <c r="U362" s="92"/>
      <c r="V362" s="92"/>
      <c r="W362" s="92"/>
      <c r="X362" s="92"/>
      <c r="Y362" s="92"/>
      <c r="Z362" s="101"/>
      <c r="AA362" s="413"/>
      <c r="AB362" s="93"/>
      <c r="AC362" s="93"/>
      <c r="AD362" s="94"/>
      <c r="AE362" s="95"/>
      <c r="AF362" s="411"/>
    </row>
    <row r="363" spans="2:32" s="76" customFormat="1" x14ac:dyDescent="0.3">
      <c r="B363" s="36"/>
      <c r="C363" s="36"/>
      <c r="D363" s="433"/>
      <c r="E363" s="77"/>
      <c r="F363" s="77"/>
      <c r="G363" s="77"/>
      <c r="H363" s="77"/>
      <c r="I363" s="77"/>
      <c r="J363" s="78"/>
      <c r="K363" s="100"/>
      <c r="L363" s="367"/>
      <c r="M363" s="362"/>
      <c r="N363" s="36"/>
      <c r="O363" s="36"/>
      <c r="P363" s="79"/>
      <c r="Q363" s="36"/>
      <c r="R363" s="36"/>
      <c r="S363" s="36"/>
      <c r="T363" s="36"/>
      <c r="U363" s="36"/>
      <c r="V363" s="36"/>
      <c r="W363" s="36"/>
      <c r="X363" s="36"/>
      <c r="Y363" s="36"/>
      <c r="Z363" s="37"/>
      <c r="AA363" s="80"/>
      <c r="AB363" s="50"/>
      <c r="AC363" s="50"/>
      <c r="AD363" s="51"/>
      <c r="AE363" s="52"/>
      <c r="AF363" s="78"/>
    </row>
    <row r="364" spans="2:32" s="87" customFormat="1" ht="108" x14ac:dyDescent="0.25">
      <c r="B364" s="504" t="s">
        <v>1560</v>
      </c>
      <c r="C364" s="504" t="s">
        <v>1562</v>
      </c>
      <c r="D364" s="27" t="s">
        <v>1062</v>
      </c>
      <c r="E364" s="26">
        <v>1</v>
      </c>
      <c r="F364" s="69" t="s">
        <v>131</v>
      </c>
      <c r="G364" s="69" t="s">
        <v>131</v>
      </c>
      <c r="H364" s="26">
        <v>16</v>
      </c>
      <c r="I364" s="26"/>
      <c r="J364" s="27" t="s">
        <v>153</v>
      </c>
      <c r="K364" s="496" t="s">
        <v>1259</v>
      </c>
      <c r="L364" s="497"/>
      <c r="M364" s="498"/>
      <c r="N364" s="372">
        <v>0.92</v>
      </c>
      <c r="O364" s="372">
        <v>0.92</v>
      </c>
      <c r="P364" s="82">
        <f t="shared" ref="P364:R364" si="12">SUM(P366:P473)</f>
        <v>27239393013</v>
      </c>
      <c r="Q364" s="372">
        <v>0.92</v>
      </c>
      <c r="R364" s="82">
        <f t="shared" si="12"/>
        <v>29963332314.299999</v>
      </c>
      <c r="S364" s="372">
        <v>0.92</v>
      </c>
      <c r="T364" s="82">
        <f t="shared" ref="T364" si="13">SUM(T366:T473)</f>
        <v>32959665545.73</v>
      </c>
      <c r="U364" s="372">
        <v>0.92</v>
      </c>
      <c r="V364" s="82">
        <f t="shared" ref="V364" si="14">SUM(V366:V473)</f>
        <v>36255632100.303001</v>
      </c>
      <c r="W364" s="372">
        <v>0.92</v>
      </c>
      <c r="X364" s="82">
        <f t="shared" ref="X364" si="15">SUM(X366:X473)</f>
        <v>39881195310.333298</v>
      </c>
      <c r="Y364" s="372">
        <v>0.92</v>
      </c>
      <c r="Z364" s="430">
        <f>X364+V364+T364+R364+P364</f>
        <v>166299218283.66629</v>
      </c>
      <c r="AA364" s="75"/>
      <c r="AB364" s="82"/>
      <c r="AC364" s="82"/>
      <c r="AD364" s="83"/>
      <c r="AE364" s="75"/>
      <c r="AF364" s="27" t="s">
        <v>154</v>
      </c>
    </row>
    <row r="365" spans="2:32" s="76" customFormat="1" ht="28.5" x14ac:dyDescent="0.3">
      <c r="B365" s="504"/>
      <c r="C365" s="504"/>
      <c r="D365" s="433"/>
      <c r="E365" s="26"/>
      <c r="F365" s="26"/>
      <c r="G365" s="26"/>
      <c r="H365" s="26"/>
      <c r="I365" s="26"/>
      <c r="J365" s="27" t="s">
        <v>63</v>
      </c>
      <c r="K365" s="35"/>
      <c r="L365" s="39"/>
      <c r="M365" s="362"/>
      <c r="N365" s="372"/>
      <c r="O365" s="372"/>
      <c r="P365" s="82"/>
      <c r="Q365" s="372"/>
      <c r="R365" s="36"/>
      <c r="S365" s="372"/>
      <c r="T365" s="36"/>
      <c r="U365" s="372"/>
      <c r="V365" s="36"/>
      <c r="W365" s="372"/>
      <c r="X365" s="36"/>
      <c r="Y365" s="372"/>
      <c r="Z365" s="37"/>
      <c r="AA365" s="75"/>
      <c r="AB365" s="50">
        <f>(1600*18)</f>
        <v>28800</v>
      </c>
      <c r="AC365" s="50">
        <f>AB365+(AB365*10%)</f>
        <v>31680</v>
      </c>
      <c r="AD365" s="51" t="str">
        <f>AD367</f>
        <v xml:space="preserve">Dinas Dikpora </v>
      </c>
      <c r="AE365" s="52" t="s">
        <v>81</v>
      </c>
      <c r="AF365" s="27"/>
    </row>
    <row r="366" spans="2:32" s="76" customFormat="1" ht="28.5" x14ac:dyDescent="0.3">
      <c r="B366" s="504"/>
      <c r="C366" s="504"/>
      <c r="D366" s="433"/>
      <c r="E366" s="33">
        <v>1</v>
      </c>
      <c r="F366" s="70" t="s">
        <v>131</v>
      </c>
      <c r="G366" s="70" t="s">
        <v>131</v>
      </c>
      <c r="H366" s="33">
        <v>16</v>
      </c>
      <c r="I366" s="34">
        <v>1</v>
      </c>
      <c r="J366" s="36" t="s">
        <v>155</v>
      </c>
      <c r="K366" s="374" t="s">
        <v>290</v>
      </c>
      <c r="L366" s="375" t="s">
        <v>291</v>
      </c>
      <c r="M366" s="375" t="s">
        <v>292</v>
      </c>
      <c r="N366" s="36" t="s">
        <v>301</v>
      </c>
      <c r="O366" s="36" t="s">
        <v>301</v>
      </c>
      <c r="P366" s="50">
        <v>6965633500</v>
      </c>
      <c r="Q366" s="36" t="s">
        <v>301</v>
      </c>
      <c r="R366" s="431">
        <f>P366+(P366*10%)</f>
        <v>7662196850</v>
      </c>
      <c r="S366" s="36" t="s">
        <v>301</v>
      </c>
      <c r="T366" s="431">
        <f>R366+(R366*10%)</f>
        <v>8428416535</v>
      </c>
      <c r="U366" s="36" t="s">
        <v>301</v>
      </c>
      <c r="V366" s="431">
        <f>T366+(T366*10%)</f>
        <v>9271258188.5</v>
      </c>
      <c r="W366" s="36" t="s">
        <v>301</v>
      </c>
      <c r="X366" s="431">
        <f>V366+(V366*10%)</f>
        <v>10198384007.35</v>
      </c>
      <c r="Y366" s="36" t="s">
        <v>301</v>
      </c>
      <c r="Z366" s="431">
        <f>X366+V366+T366+R366+P366</f>
        <v>42525889080.849998</v>
      </c>
      <c r="AA366" s="52" t="s">
        <v>66</v>
      </c>
      <c r="AB366" s="50"/>
      <c r="AC366" s="50"/>
      <c r="AD366" s="51"/>
      <c r="AE366" s="52"/>
      <c r="AF366" s="36" t="s">
        <v>156</v>
      </c>
    </row>
    <row r="367" spans="2:32" s="76" customFormat="1" ht="28.5" x14ac:dyDescent="0.3">
      <c r="B367" s="504"/>
      <c r="C367" s="504"/>
      <c r="D367" s="433"/>
      <c r="E367" s="33"/>
      <c r="F367" s="33"/>
      <c r="G367" s="33"/>
      <c r="H367" s="33"/>
      <c r="I367" s="33"/>
      <c r="J367" s="36"/>
      <c r="K367" s="374" t="s">
        <v>293</v>
      </c>
      <c r="L367" s="375" t="s">
        <v>291</v>
      </c>
      <c r="M367" s="362" t="s">
        <v>1260</v>
      </c>
      <c r="N367" s="36" t="s">
        <v>1121</v>
      </c>
      <c r="O367" s="36" t="s">
        <v>1121</v>
      </c>
      <c r="P367" s="50"/>
      <c r="Q367" s="36" t="s">
        <v>1121</v>
      </c>
      <c r="R367" s="36"/>
      <c r="S367" s="36" t="s">
        <v>1121</v>
      </c>
      <c r="T367" s="36"/>
      <c r="U367" s="36" t="s">
        <v>1121</v>
      </c>
      <c r="V367" s="36"/>
      <c r="W367" s="36" t="s">
        <v>1121</v>
      </c>
      <c r="X367" s="36"/>
      <c r="Y367" s="36" t="s">
        <v>1121</v>
      </c>
      <c r="Z367" s="37"/>
      <c r="AA367" s="52"/>
      <c r="AB367" s="50">
        <f>(2100*18)</f>
        <v>37800</v>
      </c>
      <c r="AC367" s="50">
        <f>AB367+(AB367*10%)</f>
        <v>41580</v>
      </c>
      <c r="AD367" s="51" t="s">
        <v>140</v>
      </c>
      <c r="AE367" s="52" t="s">
        <v>81</v>
      </c>
      <c r="AF367" s="36"/>
    </row>
    <row r="368" spans="2:32" s="32" customFormat="1" ht="28.5" x14ac:dyDescent="0.25">
      <c r="B368" s="504"/>
      <c r="C368" s="504"/>
      <c r="D368" s="434"/>
      <c r="E368" s="33"/>
      <c r="F368" s="33"/>
      <c r="G368" s="33"/>
      <c r="H368" s="33"/>
      <c r="I368" s="33"/>
      <c r="J368" s="36"/>
      <c r="K368" s="37"/>
      <c r="L368" s="375" t="s">
        <v>291</v>
      </c>
      <c r="M368" s="362" t="s">
        <v>1261</v>
      </c>
      <c r="N368" s="36" t="s">
        <v>1122</v>
      </c>
      <c r="O368" s="36" t="s">
        <v>1122</v>
      </c>
      <c r="P368" s="50"/>
      <c r="Q368" s="36" t="s">
        <v>1122</v>
      </c>
      <c r="R368" s="27"/>
      <c r="S368" s="36" t="s">
        <v>1122</v>
      </c>
      <c r="T368" s="27"/>
      <c r="U368" s="36" t="s">
        <v>1122</v>
      </c>
      <c r="V368" s="27"/>
      <c r="W368" s="36" t="s">
        <v>1122</v>
      </c>
      <c r="X368" s="27"/>
      <c r="Y368" s="36" t="s">
        <v>1122</v>
      </c>
      <c r="Z368" s="35"/>
      <c r="AA368" s="52"/>
      <c r="AB368" s="82">
        <f>SUM(AB369:AB485)</f>
        <v>22071775.5</v>
      </c>
      <c r="AC368" s="82">
        <f>SUM(AC369:AC485)</f>
        <v>26125618.400000002</v>
      </c>
      <c r="AD368" s="83"/>
      <c r="AE368" s="75"/>
      <c r="AF368" s="36"/>
    </row>
    <row r="369" spans="2:32" s="72" customFormat="1" ht="28.5" x14ac:dyDescent="0.3">
      <c r="B369" s="456"/>
      <c r="C369" s="456"/>
      <c r="D369" s="433"/>
      <c r="E369" s="33"/>
      <c r="F369" s="33"/>
      <c r="G369" s="33"/>
      <c r="H369" s="33"/>
      <c r="I369" s="33"/>
      <c r="J369" s="36"/>
      <c r="K369" s="37"/>
      <c r="L369" s="375" t="s">
        <v>291</v>
      </c>
      <c r="M369" s="362" t="s">
        <v>1262</v>
      </c>
      <c r="N369" s="36" t="s">
        <v>1123</v>
      </c>
      <c r="O369" s="36" t="s">
        <v>1123</v>
      </c>
      <c r="P369" s="50"/>
      <c r="Q369" s="36" t="s">
        <v>1123</v>
      </c>
      <c r="R369" s="36"/>
      <c r="S369" s="36" t="s">
        <v>1123</v>
      </c>
      <c r="T369" s="36"/>
      <c r="U369" s="36" t="s">
        <v>1123</v>
      </c>
      <c r="V369" s="36"/>
      <c r="W369" s="36" t="s">
        <v>1123</v>
      </c>
      <c r="X369" s="36"/>
      <c r="Y369" s="36" t="s">
        <v>1123</v>
      </c>
      <c r="Z369" s="37"/>
      <c r="AA369" s="52"/>
      <c r="AB369" s="50">
        <v>5250000</v>
      </c>
      <c r="AC369" s="50">
        <f>AB369+(AB369*10%)</f>
        <v>5775000</v>
      </c>
      <c r="AD369" s="51" t="s">
        <v>66</v>
      </c>
      <c r="AE369" s="52" t="s">
        <v>81</v>
      </c>
      <c r="AF369" s="36"/>
    </row>
    <row r="370" spans="2:32" s="72" customFormat="1" ht="28.5" x14ac:dyDescent="0.3">
      <c r="B370" s="456"/>
      <c r="C370" s="456"/>
      <c r="D370" s="433"/>
      <c r="E370" s="33"/>
      <c r="F370" s="33"/>
      <c r="G370" s="33"/>
      <c r="H370" s="33"/>
      <c r="I370" s="33"/>
      <c r="J370" s="36"/>
      <c r="K370" s="374" t="s">
        <v>294</v>
      </c>
      <c r="L370" s="375" t="s">
        <v>291</v>
      </c>
      <c r="M370" s="362" t="s">
        <v>1431</v>
      </c>
      <c r="N370" s="41">
        <v>1</v>
      </c>
      <c r="O370" s="41">
        <v>1</v>
      </c>
      <c r="P370" s="50"/>
      <c r="Q370" s="41">
        <v>1</v>
      </c>
      <c r="R370" s="36"/>
      <c r="S370" s="41">
        <v>1</v>
      </c>
      <c r="T370" s="36"/>
      <c r="U370" s="41">
        <v>1</v>
      </c>
      <c r="V370" s="36"/>
      <c r="W370" s="41">
        <v>1</v>
      </c>
      <c r="X370" s="36"/>
      <c r="Y370" s="41">
        <v>1</v>
      </c>
      <c r="Z370" s="37"/>
      <c r="AA370" s="52"/>
      <c r="AB370" s="50"/>
      <c r="AC370" s="50"/>
      <c r="AD370" s="51"/>
      <c r="AE370" s="52"/>
      <c r="AF370" s="36"/>
    </row>
    <row r="371" spans="2:32" s="72" customFormat="1" x14ac:dyDescent="0.3">
      <c r="B371" s="456"/>
      <c r="C371" s="456"/>
      <c r="D371" s="433"/>
      <c r="E371" s="33"/>
      <c r="F371" s="33"/>
      <c r="G371" s="33"/>
      <c r="H371" s="33"/>
      <c r="I371" s="33"/>
      <c r="J371" s="36"/>
      <c r="K371" s="374" t="s">
        <v>295</v>
      </c>
      <c r="L371" s="375" t="s">
        <v>291</v>
      </c>
      <c r="M371" s="384" t="s">
        <v>1432</v>
      </c>
      <c r="N371" s="36"/>
      <c r="O371" s="36"/>
      <c r="P371" s="50"/>
      <c r="Q371" s="36"/>
      <c r="R371" s="36"/>
      <c r="S371" s="36"/>
      <c r="T371" s="36"/>
      <c r="U371" s="36"/>
      <c r="V371" s="36"/>
      <c r="W371" s="36"/>
      <c r="X371" s="36"/>
      <c r="Y371" s="36"/>
      <c r="Z371" s="37"/>
      <c r="AA371" s="52"/>
      <c r="AB371" s="50"/>
      <c r="AC371" s="50"/>
      <c r="AD371" s="51"/>
      <c r="AE371" s="52"/>
      <c r="AF371" s="36"/>
    </row>
    <row r="372" spans="2:32" s="72" customFormat="1" x14ac:dyDescent="0.3">
      <c r="B372" s="458"/>
      <c r="C372" s="458"/>
      <c r="D372" s="445"/>
      <c r="E372" s="91"/>
      <c r="F372" s="91"/>
      <c r="G372" s="91"/>
      <c r="H372" s="91"/>
      <c r="I372" s="91"/>
      <c r="J372" s="92"/>
      <c r="K372" s="377" t="s">
        <v>297</v>
      </c>
      <c r="L372" s="378" t="s">
        <v>291</v>
      </c>
      <c r="M372" s="385" t="s">
        <v>1433</v>
      </c>
      <c r="N372" s="92"/>
      <c r="O372" s="92"/>
      <c r="P372" s="93"/>
      <c r="Q372" s="92"/>
      <c r="R372" s="92"/>
      <c r="S372" s="92"/>
      <c r="T372" s="92"/>
      <c r="U372" s="92"/>
      <c r="V372" s="92"/>
      <c r="W372" s="92"/>
      <c r="X372" s="92"/>
      <c r="Y372" s="92"/>
      <c r="Z372" s="101"/>
      <c r="AA372" s="95"/>
      <c r="AB372" s="93"/>
      <c r="AC372" s="93"/>
      <c r="AD372" s="94"/>
      <c r="AE372" s="95"/>
      <c r="AF372" s="92"/>
    </row>
    <row r="373" spans="2:32" s="72" customFormat="1" x14ac:dyDescent="0.3">
      <c r="B373" s="456"/>
      <c r="C373" s="456"/>
      <c r="D373" s="433"/>
      <c r="E373" s="33"/>
      <c r="F373" s="33"/>
      <c r="G373" s="33"/>
      <c r="H373" s="33"/>
      <c r="I373" s="33"/>
      <c r="J373" s="36"/>
      <c r="K373" s="37"/>
      <c r="L373" s="46"/>
      <c r="M373" s="362"/>
      <c r="N373" s="36"/>
      <c r="O373" s="36"/>
      <c r="P373" s="50"/>
      <c r="Q373" s="36"/>
      <c r="R373" s="36"/>
      <c r="S373" s="36"/>
      <c r="T373" s="36"/>
      <c r="U373" s="36"/>
      <c r="V373" s="36"/>
      <c r="W373" s="36"/>
      <c r="X373" s="36"/>
      <c r="Y373" s="36"/>
      <c r="Z373" s="37"/>
      <c r="AA373" s="52"/>
      <c r="AB373" s="50"/>
      <c r="AC373" s="50"/>
      <c r="AD373" s="51"/>
      <c r="AE373" s="52"/>
      <c r="AF373" s="36"/>
    </row>
    <row r="374" spans="2:32" s="72" customFormat="1" x14ac:dyDescent="0.3">
      <c r="B374" s="456"/>
      <c r="C374" s="456"/>
      <c r="D374" s="433"/>
      <c r="E374" s="33">
        <v>1</v>
      </c>
      <c r="F374" s="70" t="s">
        <v>131</v>
      </c>
      <c r="G374" s="70" t="s">
        <v>131</v>
      </c>
      <c r="H374" s="33">
        <v>16</v>
      </c>
      <c r="I374" s="34">
        <v>2</v>
      </c>
      <c r="J374" s="36" t="s">
        <v>157</v>
      </c>
      <c r="K374" s="374" t="s">
        <v>290</v>
      </c>
      <c r="L374" s="375" t="s">
        <v>291</v>
      </c>
      <c r="M374" s="375" t="s">
        <v>292</v>
      </c>
      <c r="N374" s="36" t="s">
        <v>301</v>
      </c>
      <c r="O374" s="36" t="s">
        <v>301</v>
      </c>
      <c r="P374" s="50">
        <v>279745000</v>
      </c>
      <c r="Q374" s="36" t="s">
        <v>301</v>
      </c>
      <c r="R374" s="431">
        <f>P374+(P374*10%)</f>
        <v>307719500</v>
      </c>
      <c r="S374" s="36" t="s">
        <v>301</v>
      </c>
      <c r="T374" s="431">
        <f>R374+(R374*10%)</f>
        <v>338491450</v>
      </c>
      <c r="U374" s="36" t="s">
        <v>301</v>
      </c>
      <c r="V374" s="431">
        <f>T374+(T374*10%)</f>
        <v>372340595</v>
      </c>
      <c r="W374" s="36" t="s">
        <v>301</v>
      </c>
      <c r="X374" s="431">
        <f>V374+(V374*10%)</f>
        <v>409574654.5</v>
      </c>
      <c r="Y374" s="36" t="s">
        <v>301</v>
      </c>
      <c r="Z374" s="431">
        <f>X374+V374+T374+R374+P374</f>
        <v>1707871199.5</v>
      </c>
      <c r="AA374" s="52" t="str">
        <f>AA400</f>
        <v>Dinas Dikpora</v>
      </c>
      <c r="AB374" s="50"/>
      <c r="AC374" s="50"/>
      <c r="AD374" s="51"/>
      <c r="AE374" s="52"/>
      <c r="AF374" s="36" t="s">
        <v>156</v>
      </c>
    </row>
    <row r="375" spans="2:32" s="72" customFormat="1" ht="28.5" x14ac:dyDescent="0.3">
      <c r="B375" s="456"/>
      <c r="C375" s="456"/>
      <c r="D375" s="433"/>
      <c r="E375" s="33"/>
      <c r="F375" s="33"/>
      <c r="G375" s="33"/>
      <c r="H375" s="33"/>
      <c r="I375" s="33"/>
      <c r="J375" s="36"/>
      <c r="K375" s="374" t="s">
        <v>293</v>
      </c>
      <c r="L375" s="375" t="s">
        <v>291</v>
      </c>
      <c r="M375" s="362" t="s">
        <v>1242</v>
      </c>
      <c r="N375" s="36" t="s">
        <v>744</v>
      </c>
      <c r="O375" s="36" t="s">
        <v>744</v>
      </c>
      <c r="P375" s="50"/>
      <c r="Q375" s="36" t="s">
        <v>744</v>
      </c>
      <c r="R375" s="36"/>
      <c r="S375" s="36" t="s">
        <v>744</v>
      </c>
      <c r="T375" s="36"/>
      <c r="U375" s="36" t="s">
        <v>744</v>
      </c>
      <c r="V375" s="36"/>
      <c r="W375" s="36" t="s">
        <v>744</v>
      </c>
      <c r="X375" s="36"/>
      <c r="Y375" s="36" t="s">
        <v>744</v>
      </c>
      <c r="Z375" s="37"/>
      <c r="AA375" s="52"/>
      <c r="AB375" s="50">
        <v>2500000</v>
      </c>
      <c r="AC375" s="50">
        <f>AB375</f>
        <v>2500000</v>
      </c>
      <c r="AD375" s="51" t="s">
        <v>66</v>
      </c>
      <c r="AE375" s="52" t="s">
        <v>81</v>
      </c>
      <c r="AF375" s="36"/>
    </row>
    <row r="376" spans="2:32" s="72" customFormat="1" ht="28.5" x14ac:dyDescent="0.3">
      <c r="B376" s="456"/>
      <c r="C376" s="456"/>
      <c r="D376" s="433"/>
      <c r="E376" s="33"/>
      <c r="F376" s="33"/>
      <c r="G376" s="33"/>
      <c r="H376" s="33"/>
      <c r="I376" s="33"/>
      <c r="J376" s="36"/>
      <c r="K376" s="37"/>
      <c r="L376" s="375" t="s">
        <v>291</v>
      </c>
      <c r="M376" s="362" t="s">
        <v>1263</v>
      </c>
      <c r="N376" s="36" t="s">
        <v>1124</v>
      </c>
      <c r="O376" s="36" t="s">
        <v>1124</v>
      </c>
      <c r="P376" s="50"/>
      <c r="Q376" s="36" t="s">
        <v>1124</v>
      </c>
      <c r="R376" s="36"/>
      <c r="S376" s="36" t="s">
        <v>1124</v>
      </c>
      <c r="T376" s="36"/>
      <c r="U376" s="36" t="s">
        <v>1124</v>
      </c>
      <c r="V376" s="36"/>
      <c r="W376" s="36" t="s">
        <v>1124</v>
      </c>
      <c r="X376" s="36"/>
      <c r="Y376" s="36" t="s">
        <v>1124</v>
      </c>
      <c r="Z376" s="37"/>
      <c r="AA376" s="52"/>
      <c r="AB376" s="50">
        <v>2067000</v>
      </c>
      <c r="AC376" s="50">
        <f>AB376+(AB376*10%)</f>
        <v>2273700</v>
      </c>
      <c r="AD376" s="51" t="s">
        <v>66</v>
      </c>
      <c r="AE376" s="52" t="s">
        <v>81</v>
      </c>
      <c r="AF376" s="36"/>
    </row>
    <row r="377" spans="2:32" s="72" customFormat="1" ht="28.5" x14ac:dyDescent="0.3">
      <c r="B377" s="456"/>
      <c r="C377" s="456"/>
      <c r="D377" s="433"/>
      <c r="E377" s="33"/>
      <c r="F377" s="33"/>
      <c r="G377" s="33"/>
      <c r="H377" s="33"/>
      <c r="I377" s="33"/>
      <c r="J377" s="36"/>
      <c r="K377" s="37"/>
      <c r="L377" s="375" t="s">
        <v>291</v>
      </c>
      <c r="M377" s="362" t="s">
        <v>765</v>
      </c>
      <c r="N377" s="36" t="s">
        <v>1125</v>
      </c>
      <c r="O377" s="36" t="s">
        <v>1125</v>
      </c>
      <c r="P377" s="50"/>
      <c r="Q377" s="36" t="s">
        <v>1125</v>
      </c>
      <c r="R377" s="36"/>
      <c r="S377" s="36" t="s">
        <v>1125</v>
      </c>
      <c r="T377" s="36"/>
      <c r="U377" s="36" t="s">
        <v>1125</v>
      </c>
      <c r="V377" s="36"/>
      <c r="W377" s="36" t="s">
        <v>1125</v>
      </c>
      <c r="X377" s="36"/>
      <c r="Y377" s="36" t="s">
        <v>1125</v>
      </c>
      <c r="Z377" s="37"/>
      <c r="AA377" s="52"/>
      <c r="AB377" s="50">
        <f>16*15000</f>
        <v>240000</v>
      </c>
      <c r="AC377" s="50">
        <f>AB377+(AB377*10%)</f>
        <v>264000</v>
      </c>
      <c r="AD377" s="51" t="e">
        <f>AD408</f>
        <v>#REF!</v>
      </c>
      <c r="AE377" s="52" t="s">
        <v>81</v>
      </c>
      <c r="AF377" s="36"/>
    </row>
    <row r="378" spans="2:32" s="72" customFormat="1" ht="42.75" x14ac:dyDescent="0.3">
      <c r="B378" s="456"/>
      <c r="C378" s="456"/>
      <c r="D378" s="433"/>
      <c r="E378" s="33"/>
      <c r="F378" s="33"/>
      <c r="G378" s="33"/>
      <c r="H378" s="33"/>
      <c r="I378" s="33"/>
      <c r="J378" s="36"/>
      <c r="K378" s="37"/>
      <c r="L378" s="375" t="s">
        <v>291</v>
      </c>
      <c r="M378" s="362" t="s">
        <v>766</v>
      </c>
      <c r="N378" s="36" t="s">
        <v>1126</v>
      </c>
      <c r="O378" s="36" t="s">
        <v>1126</v>
      </c>
      <c r="P378" s="50"/>
      <c r="Q378" s="36" t="s">
        <v>1126</v>
      </c>
      <c r="R378" s="36"/>
      <c r="S378" s="36" t="s">
        <v>1126</v>
      </c>
      <c r="T378" s="36"/>
      <c r="U378" s="36" t="s">
        <v>1126</v>
      </c>
      <c r="V378" s="36"/>
      <c r="W378" s="36" t="s">
        <v>1126</v>
      </c>
      <c r="X378" s="36"/>
      <c r="Y378" s="36" t="s">
        <v>1126</v>
      </c>
      <c r="Z378" s="37"/>
      <c r="AA378" s="52"/>
      <c r="AB378" s="50">
        <f>6*15000</f>
        <v>90000</v>
      </c>
      <c r="AC378" s="50">
        <f>16*2500+(40000*10%)</f>
        <v>44000</v>
      </c>
      <c r="AD378" s="51" t="e">
        <f>AD377</f>
        <v>#REF!</v>
      </c>
      <c r="AE378" s="52" t="s">
        <v>81</v>
      </c>
      <c r="AF378" s="36"/>
    </row>
    <row r="379" spans="2:32" s="72" customFormat="1" ht="28.5" x14ac:dyDescent="0.3">
      <c r="B379" s="36"/>
      <c r="C379" s="36"/>
      <c r="D379" s="433"/>
      <c r="E379" s="33"/>
      <c r="F379" s="33"/>
      <c r="G379" s="33"/>
      <c r="H379" s="33"/>
      <c r="I379" s="33"/>
      <c r="J379" s="36"/>
      <c r="K379" s="37"/>
      <c r="L379" s="375" t="s">
        <v>291</v>
      </c>
      <c r="M379" s="362" t="s">
        <v>772</v>
      </c>
      <c r="N379" s="36" t="s">
        <v>1127</v>
      </c>
      <c r="O379" s="36" t="s">
        <v>1127</v>
      </c>
      <c r="P379" s="50"/>
      <c r="Q379" s="36" t="s">
        <v>1127</v>
      </c>
      <c r="R379" s="36"/>
      <c r="S379" s="36" t="s">
        <v>1127</v>
      </c>
      <c r="T379" s="36"/>
      <c r="U379" s="36" t="s">
        <v>1127</v>
      </c>
      <c r="V379" s="36"/>
      <c r="W379" s="36" t="s">
        <v>1127</v>
      </c>
      <c r="X379" s="36"/>
      <c r="Y379" s="36" t="s">
        <v>1127</v>
      </c>
      <c r="Z379" s="37"/>
      <c r="AA379" s="52"/>
      <c r="AB379" s="50">
        <f>15000*3</f>
        <v>45000</v>
      </c>
      <c r="AC379" s="50">
        <f>AB379+(AB379*10%)</f>
        <v>49500</v>
      </c>
      <c r="AD379" s="51" t="e">
        <f>AD378</f>
        <v>#REF!</v>
      </c>
      <c r="AE379" s="52" t="s">
        <v>81</v>
      </c>
      <c r="AF379" s="36"/>
    </row>
    <row r="380" spans="2:32" s="72" customFormat="1" ht="28.5" x14ac:dyDescent="0.3">
      <c r="B380" s="36"/>
      <c r="C380" s="36"/>
      <c r="D380" s="433"/>
      <c r="E380" s="33"/>
      <c r="F380" s="33"/>
      <c r="G380" s="33"/>
      <c r="H380" s="33"/>
      <c r="I380" s="33"/>
      <c r="J380" s="36"/>
      <c r="K380" s="37"/>
      <c r="L380" s="375" t="s">
        <v>291</v>
      </c>
      <c r="M380" s="362" t="s">
        <v>767</v>
      </c>
      <c r="N380" s="36" t="s">
        <v>1128</v>
      </c>
      <c r="O380" s="36" t="s">
        <v>1128</v>
      </c>
      <c r="P380" s="50"/>
      <c r="Q380" s="36" t="s">
        <v>1128</v>
      </c>
      <c r="R380" s="36"/>
      <c r="S380" s="36" t="s">
        <v>1128</v>
      </c>
      <c r="T380" s="36"/>
      <c r="U380" s="36" t="s">
        <v>1128</v>
      </c>
      <c r="V380" s="36"/>
      <c r="W380" s="36" t="s">
        <v>1128</v>
      </c>
      <c r="X380" s="36"/>
      <c r="Y380" s="36" t="s">
        <v>1128</v>
      </c>
      <c r="Z380" s="37"/>
      <c r="AA380" s="52"/>
      <c r="AB380" s="50">
        <f>14*7500</f>
        <v>105000</v>
      </c>
      <c r="AC380" s="50">
        <f>AB380+(AB380*10%)</f>
        <v>115500</v>
      </c>
      <c r="AD380" s="51" t="e">
        <f>AD379</f>
        <v>#REF!</v>
      </c>
      <c r="AE380" s="52" t="s">
        <v>81</v>
      </c>
      <c r="AF380" s="36"/>
    </row>
    <row r="381" spans="2:32" s="72" customFormat="1" ht="28.5" x14ac:dyDescent="0.3">
      <c r="B381" s="36"/>
      <c r="C381" s="36"/>
      <c r="D381" s="433"/>
      <c r="E381" s="33"/>
      <c r="F381" s="33"/>
      <c r="G381" s="33"/>
      <c r="H381" s="33"/>
      <c r="I381" s="33"/>
      <c r="J381" s="36"/>
      <c r="K381" s="37"/>
      <c r="L381" s="375" t="s">
        <v>291</v>
      </c>
      <c r="M381" s="362" t="s">
        <v>768</v>
      </c>
      <c r="N381" s="36" t="s">
        <v>1124</v>
      </c>
      <c r="O381" s="36" t="s">
        <v>1124</v>
      </c>
      <c r="P381" s="50"/>
      <c r="Q381" s="36" t="s">
        <v>1124</v>
      </c>
      <c r="R381" s="36"/>
      <c r="S381" s="36" t="s">
        <v>1124</v>
      </c>
      <c r="T381" s="36"/>
      <c r="U381" s="36" t="s">
        <v>1124</v>
      </c>
      <c r="V381" s="36"/>
      <c r="W381" s="36" t="s">
        <v>1124</v>
      </c>
      <c r="X381" s="36"/>
      <c r="Y381" s="36" t="s">
        <v>1124</v>
      </c>
      <c r="Z381" s="37"/>
      <c r="AA381" s="52"/>
      <c r="AB381" s="50">
        <f>1000*59</f>
        <v>59000</v>
      </c>
      <c r="AC381" s="50">
        <f>AB381+(AB381*10%)+100</f>
        <v>65000</v>
      </c>
      <c r="AD381" s="51" t="e">
        <f>AD379</f>
        <v>#REF!</v>
      </c>
      <c r="AE381" s="52" t="s">
        <v>81</v>
      </c>
      <c r="AF381" s="36"/>
    </row>
    <row r="382" spans="2:32" s="72" customFormat="1" ht="28.5" x14ac:dyDescent="0.3">
      <c r="B382" s="36"/>
      <c r="C382" s="36"/>
      <c r="D382" s="433"/>
      <c r="E382" s="33"/>
      <c r="F382" s="33"/>
      <c r="G382" s="33"/>
      <c r="H382" s="33"/>
      <c r="I382" s="33"/>
      <c r="J382" s="36"/>
      <c r="K382" s="374" t="s">
        <v>294</v>
      </c>
      <c r="L382" s="375" t="s">
        <v>291</v>
      </c>
      <c r="M382" s="362" t="s">
        <v>1434</v>
      </c>
      <c r="N382" s="41">
        <v>1</v>
      </c>
      <c r="O382" s="41">
        <v>1</v>
      </c>
      <c r="P382" s="50"/>
      <c r="Q382" s="41">
        <v>1</v>
      </c>
      <c r="R382" s="36"/>
      <c r="S382" s="41">
        <v>1</v>
      </c>
      <c r="T382" s="36"/>
      <c r="U382" s="41">
        <v>1</v>
      </c>
      <c r="V382" s="36"/>
      <c r="W382" s="41">
        <v>1</v>
      </c>
      <c r="X382" s="36"/>
      <c r="Y382" s="41">
        <v>1</v>
      </c>
      <c r="Z382" s="37"/>
      <c r="AA382" s="52"/>
      <c r="AB382" s="50"/>
      <c r="AC382" s="50"/>
      <c r="AD382" s="51"/>
      <c r="AE382" s="52"/>
      <c r="AF382" s="36"/>
    </row>
    <row r="383" spans="2:32" s="72" customFormat="1" x14ac:dyDescent="0.3">
      <c r="B383" s="36"/>
      <c r="C383" s="36"/>
      <c r="D383" s="433"/>
      <c r="E383" s="33"/>
      <c r="F383" s="33"/>
      <c r="G383" s="33"/>
      <c r="H383" s="33"/>
      <c r="I383" s="33"/>
      <c r="J383" s="36"/>
      <c r="K383" s="374" t="s">
        <v>295</v>
      </c>
      <c r="L383" s="375" t="s">
        <v>291</v>
      </c>
      <c r="M383" s="384" t="s">
        <v>1435</v>
      </c>
      <c r="N383" s="36"/>
      <c r="O383" s="36"/>
      <c r="P383" s="50"/>
      <c r="Q383" s="36"/>
      <c r="R383" s="36"/>
      <c r="S383" s="36"/>
      <c r="T383" s="36"/>
      <c r="U383" s="36"/>
      <c r="V383" s="36"/>
      <c r="W383" s="36"/>
      <c r="X383" s="36"/>
      <c r="Y383" s="36"/>
      <c r="Z383" s="37"/>
      <c r="AA383" s="52"/>
      <c r="AB383" s="50"/>
      <c r="AC383" s="50"/>
      <c r="AD383" s="51"/>
      <c r="AE383" s="52"/>
      <c r="AF383" s="36"/>
    </row>
    <row r="384" spans="2:32" s="72" customFormat="1" x14ac:dyDescent="0.3">
      <c r="B384" s="92"/>
      <c r="C384" s="92"/>
      <c r="D384" s="445"/>
      <c r="E384" s="91"/>
      <c r="F384" s="91"/>
      <c r="G384" s="91"/>
      <c r="H384" s="91"/>
      <c r="I384" s="91"/>
      <c r="J384" s="92"/>
      <c r="K384" s="377" t="s">
        <v>297</v>
      </c>
      <c r="L384" s="378" t="s">
        <v>291</v>
      </c>
      <c r="M384" s="385" t="s">
        <v>1433</v>
      </c>
      <c r="N384" s="92"/>
      <c r="O384" s="92"/>
      <c r="P384" s="93"/>
      <c r="Q384" s="92"/>
      <c r="R384" s="92"/>
      <c r="S384" s="92"/>
      <c r="T384" s="92"/>
      <c r="U384" s="92"/>
      <c r="V384" s="92"/>
      <c r="W384" s="92"/>
      <c r="X384" s="92"/>
      <c r="Y384" s="92"/>
      <c r="Z384" s="101"/>
      <c r="AA384" s="95"/>
      <c r="AB384" s="93"/>
      <c r="AC384" s="93"/>
      <c r="AD384" s="94"/>
      <c r="AE384" s="95"/>
      <c r="AF384" s="92"/>
    </row>
    <row r="385" spans="2:32" s="72" customFormat="1" x14ac:dyDescent="0.3">
      <c r="B385" s="36"/>
      <c r="C385" s="36"/>
      <c r="D385" s="433"/>
      <c r="E385" s="33"/>
      <c r="F385" s="33"/>
      <c r="G385" s="33"/>
      <c r="H385" s="33"/>
      <c r="I385" s="33"/>
      <c r="J385" s="36"/>
      <c r="K385" s="37"/>
      <c r="L385" s="375"/>
      <c r="M385" s="362"/>
      <c r="N385" s="36"/>
      <c r="O385" s="36"/>
      <c r="P385" s="50"/>
      <c r="Q385" s="36"/>
      <c r="R385" s="36"/>
      <c r="S385" s="36"/>
      <c r="T385" s="36"/>
      <c r="U385" s="36"/>
      <c r="V385" s="36"/>
      <c r="W385" s="36"/>
      <c r="X385" s="36"/>
      <c r="Y385" s="36"/>
      <c r="Z385" s="37"/>
      <c r="AA385" s="52"/>
      <c r="AB385" s="50"/>
      <c r="AC385" s="50"/>
      <c r="AD385" s="51"/>
      <c r="AE385" s="52"/>
      <c r="AF385" s="36"/>
    </row>
    <row r="386" spans="2:32" s="72" customFormat="1" x14ac:dyDescent="0.3">
      <c r="B386" s="36"/>
      <c r="C386" s="36"/>
      <c r="D386" s="433"/>
      <c r="E386" s="33">
        <v>1</v>
      </c>
      <c r="F386" s="70" t="s">
        <v>131</v>
      </c>
      <c r="G386" s="70" t="s">
        <v>131</v>
      </c>
      <c r="H386" s="33">
        <v>16</v>
      </c>
      <c r="I386" s="34">
        <v>3</v>
      </c>
      <c r="J386" s="36" t="s">
        <v>158</v>
      </c>
      <c r="K386" s="374" t="s">
        <v>290</v>
      </c>
      <c r="L386" s="375" t="s">
        <v>291</v>
      </c>
      <c r="M386" s="375" t="s">
        <v>292</v>
      </c>
      <c r="N386" s="36" t="s">
        <v>301</v>
      </c>
      <c r="O386" s="36" t="s">
        <v>301</v>
      </c>
      <c r="P386" s="50">
        <v>5675257500</v>
      </c>
      <c r="Q386" s="36" t="s">
        <v>301</v>
      </c>
      <c r="R386" s="431">
        <f>P386+(P386*10%)</f>
        <v>6242783250</v>
      </c>
      <c r="S386" s="36" t="s">
        <v>301</v>
      </c>
      <c r="T386" s="431">
        <f>R386+(R386*10%)</f>
        <v>6867061575</v>
      </c>
      <c r="U386" s="36" t="s">
        <v>301</v>
      </c>
      <c r="V386" s="431">
        <f>T386+(T386*10%)</f>
        <v>7553767732.5</v>
      </c>
      <c r="W386" s="36" t="s">
        <v>301</v>
      </c>
      <c r="X386" s="431">
        <f>V386+(V386*10%)</f>
        <v>8309144505.75</v>
      </c>
      <c r="Y386" s="36" t="s">
        <v>301</v>
      </c>
      <c r="Z386" s="431">
        <f>X386+V386+T386+R386+P386</f>
        <v>34648014563.25</v>
      </c>
      <c r="AA386" s="52" t="s">
        <v>66</v>
      </c>
      <c r="AB386" s="50"/>
      <c r="AC386" s="50"/>
      <c r="AD386" s="51"/>
      <c r="AE386" s="52"/>
      <c r="AF386" s="36" t="s">
        <v>156</v>
      </c>
    </row>
    <row r="387" spans="2:32" s="72" customFormat="1" ht="28.5" x14ac:dyDescent="0.3">
      <c r="B387" s="36"/>
      <c r="C387" s="36"/>
      <c r="D387" s="433"/>
      <c r="E387" s="33"/>
      <c r="F387" s="33"/>
      <c r="G387" s="33"/>
      <c r="H387" s="33"/>
      <c r="I387" s="33"/>
      <c r="J387" s="36"/>
      <c r="K387" s="374" t="s">
        <v>293</v>
      </c>
      <c r="L387" s="375" t="s">
        <v>291</v>
      </c>
      <c r="M387" s="362" t="s">
        <v>1264</v>
      </c>
      <c r="N387" s="36" t="s">
        <v>1129</v>
      </c>
      <c r="O387" s="36" t="s">
        <v>1129</v>
      </c>
      <c r="P387" s="50"/>
      <c r="Q387" s="36" t="s">
        <v>1129</v>
      </c>
      <c r="R387" s="36"/>
      <c r="S387" s="36" t="s">
        <v>1129</v>
      </c>
      <c r="T387" s="36"/>
      <c r="U387" s="36" t="s">
        <v>1129</v>
      </c>
      <c r="V387" s="36"/>
      <c r="W387" s="36" t="s">
        <v>1129</v>
      </c>
      <c r="X387" s="36"/>
      <c r="Y387" s="36" t="s">
        <v>1129</v>
      </c>
      <c r="Z387" s="37"/>
      <c r="AA387" s="52"/>
      <c r="AB387" s="50">
        <f>15*7500</f>
        <v>112500</v>
      </c>
      <c r="AC387" s="50">
        <f>AB387+(AB387*20%)</f>
        <v>135000</v>
      </c>
      <c r="AD387" s="51" t="e">
        <f>AD379</f>
        <v>#REF!</v>
      </c>
      <c r="AE387" s="52" t="s">
        <v>81</v>
      </c>
      <c r="AF387" s="36"/>
    </row>
    <row r="388" spans="2:32" s="72" customFormat="1" ht="28.5" x14ac:dyDescent="0.3">
      <c r="B388" s="36"/>
      <c r="C388" s="36"/>
      <c r="D388" s="433"/>
      <c r="E388" s="33"/>
      <c r="F388" s="33"/>
      <c r="G388" s="33"/>
      <c r="H388" s="33"/>
      <c r="I388" s="33"/>
      <c r="J388" s="36"/>
      <c r="K388" s="37"/>
      <c r="L388" s="375" t="s">
        <v>291</v>
      </c>
      <c r="M388" s="362" t="s">
        <v>586</v>
      </c>
      <c r="N388" s="36"/>
      <c r="O388" s="36"/>
      <c r="P388" s="50"/>
      <c r="Q388" s="36"/>
      <c r="R388" s="36"/>
      <c r="S388" s="36"/>
      <c r="T388" s="36"/>
      <c r="U388" s="36"/>
      <c r="V388" s="36"/>
      <c r="W388" s="36"/>
      <c r="X388" s="36"/>
      <c r="Y388" s="36"/>
      <c r="Z388" s="37"/>
      <c r="AA388" s="52"/>
      <c r="AB388" s="50">
        <f>6*3500</f>
        <v>21000</v>
      </c>
      <c r="AC388" s="50">
        <f>AB388+(AB388*10%)</f>
        <v>23100</v>
      </c>
      <c r="AD388" s="51" t="e">
        <f>AD381</f>
        <v>#REF!</v>
      </c>
      <c r="AE388" s="52" t="s">
        <v>81</v>
      </c>
      <c r="AF388" s="36"/>
    </row>
    <row r="389" spans="2:32" s="72" customFormat="1" x14ac:dyDescent="0.3">
      <c r="B389" s="36"/>
      <c r="C389" s="36"/>
      <c r="D389" s="433"/>
      <c r="E389" s="33"/>
      <c r="F389" s="33"/>
      <c r="G389" s="33"/>
      <c r="H389" s="33"/>
      <c r="I389" s="33"/>
      <c r="J389" s="36"/>
      <c r="K389" s="374" t="s">
        <v>294</v>
      </c>
      <c r="L389" s="375" t="s">
        <v>291</v>
      </c>
      <c r="M389" s="362" t="s">
        <v>1436</v>
      </c>
      <c r="N389" s="41">
        <v>1</v>
      </c>
      <c r="O389" s="41">
        <v>1</v>
      </c>
      <c r="P389" s="50"/>
      <c r="Q389" s="41">
        <v>1</v>
      </c>
      <c r="R389" s="36"/>
      <c r="S389" s="41">
        <v>1</v>
      </c>
      <c r="T389" s="36"/>
      <c r="U389" s="41">
        <v>1</v>
      </c>
      <c r="V389" s="36"/>
      <c r="W389" s="41">
        <v>1</v>
      </c>
      <c r="X389" s="36"/>
      <c r="Y389" s="41">
        <v>1</v>
      </c>
      <c r="Z389" s="37"/>
      <c r="AA389" s="52"/>
      <c r="AB389" s="50"/>
      <c r="AC389" s="50"/>
      <c r="AD389" s="51"/>
      <c r="AE389" s="52"/>
      <c r="AF389" s="36"/>
    </row>
    <row r="390" spans="2:32" s="72" customFormat="1" x14ac:dyDescent="0.3">
      <c r="B390" s="36"/>
      <c r="C390" s="36"/>
      <c r="D390" s="433"/>
      <c r="E390" s="33"/>
      <c r="F390" s="33"/>
      <c r="G390" s="33"/>
      <c r="H390" s="33"/>
      <c r="I390" s="33"/>
      <c r="J390" s="36"/>
      <c r="K390" s="374" t="s">
        <v>295</v>
      </c>
      <c r="L390" s="375" t="s">
        <v>291</v>
      </c>
      <c r="M390" s="384" t="s">
        <v>1435</v>
      </c>
      <c r="N390" s="36"/>
      <c r="O390" s="36"/>
      <c r="P390" s="50"/>
      <c r="Q390" s="36"/>
      <c r="R390" s="36"/>
      <c r="S390" s="36"/>
      <c r="T390" s="36"/>
      <c r="U390" s="36"/>
      <c r="V390" s="36"/>
      <c r="W390" s="36"/>
      <c r="X390" s="36"/>
      <c r="Y390" s="36"/>
      <c r="Z390" s="37"/>
      <c r="AA390" s="52"/>
      <c r="AB390" s="50"/>
      <c r="AC390" s="50"/>
      <c r="AD390" s="51"/>
      <c r="AE390" s="52"/>
      <c r="AF390" s="36"/>
    </row>
    <row r="391" spans="2:32" s="72" customFormat="1" x14ac:dyDescent="0.3">
      <c r="B391" s="92"/>
      <c r="C391" s="92"/>
      <c r="D391" s="445"/>
      <c r="E391" s="91"/>
      <c r="F391" s="91"/>
      <c r="G391" s="91"/>
      <c r="H391" s="91"/>
      <c r="I391" s="91"/>
      <c r="J391" s="92"/>
      <c r="K391" s="377" t="s">
        <v>297</v>
      </c>
      <c r="L391" s="378" t="s">
        <v>291</v>
      </c>
      <c r="M391" s="385" t="s">
        <v>1433</v>
      </c>
      <c r="N391" s="92"/>
      <c r="O391" s="92"/>
      <c r="P391" s="93"/>
      <c r="Q391" s="92"/>
      <c r="R391" s="92"/>
      <c r="S391" s="92"/>
      <c r="T391" s="92"/>
      <c r="U391" s="92"/>
      <c r="V391" s="92"/>
      <c r="W391" s="92"/>
      <c r="X391" s="92"/>
      <c r="Y391" s="92"/>
      <c r="Z391" s="101"/>
      <c r="AA391" s="95"/>
      <c r="AB391" s="93"/>
      <c r="AC391" s="93"/>
      <c r="AD391" s="94"/>
      <c r="AE391" s="95"/>
      <c r="AF391" s="92"/>
    </row>
    <row r="392" spans="2:32" s="72" customFormat="1" x14ac:dyDescent="0.3">
      <c r="B392" s="36"/>
      <c r="C392" s="36"/>
      <c r="D392" s="433"/>
      <c r="E392" s="33"/>
      <c r="F392" s="33"/>
      <c r="G392" s="33"/>
      <c r="H392" s="33"/>
      <c r="I392" s="33"/>
      <c r="J392" s="36"/>
      <c r="K392" s="37"/>
      <c r="L392" s="375"/>
      <c r="M392" s="362"/>
      <c r="N392" s="36"/>
      <c r="O392" s="36"/>
      <c r="P392" s="50"/>
      <c r="Q392" s="36"/>
      <c r="R392" s="36"/>
      <c r="S392" s="36"/>
      <c r="T392" s="36"/>
      <c r="U392" s="36"/>
      <c r="V392" s="36"/>
      <c r="W392" s="36"/>
      <c r="X392" s="36"/>
      <c r="Y392" s="36"/>
      <c r="Z392" s="37"/>
      <c r="AA392" s="52"/>
      <c r="AB392" s="50"/>
      <c r="AC392" s="50"/>
      <c r="AD392" s="51"/>
      <c r="AE392" s="52"/>
      <c r="AF392" s="36"/>
    </row>
    <row r="393" spans="2:32" s="72" customFormat="1" ht="28.5" x14ac:dyDescent="0.3">
      <c r="B393" s="36"/>
      <c r="C393" s="36"/>
      <c r="D393" s="433"/>
      <c r="E393" s="33">
        <v>1</v>
      </c>
      <c r="F393" s="70" t="s">
        <v>131</v>
      </c>
      <c r="G393" s="70" t="s">
        <v>131</v>
      </c>
      <c r="H393" s="33">
        <v>16</v>
      </c>
      <c r="I393" s="34">
        <v>4</v>
      </c>
      <c r="J393" s="36" t="s">
        <v>159</v>
      </c>
      <c r="K393" s="374" t="s">
        <v>290</v>
      </c>
      <c r="L393" s="375" t="s">
        <v>291</v>
      </c>
      <c r="M393" s="375" t="s">
        <v>292</v>
      </c>
      <c r="N393" s="36" t="s">
        <v>301</v>
      </c>
      <c r="O393" s="36" t="s">
        <v>301</v>
      </c>
      <c r="P393" s="50">
        <v>11882594663</v>
      </c>
      <c r="Q393" s="36" t="s">
        <v>301</v>
      </c>
      <c r="R393" s="431">
        <f>P393+(P393*10%)</f>
        <v>13070854129.299999</v>
      </c>
      <c r="S393" s="36" t="s">
        <v>301</v>
      </c>
      <c r="T393" s="431">
        <f>R393+(R393*10%)</f>
        <v>14377939542.23</v>
      </c>
      <c r="U393" s="36" t="s">
        <v>301</v>
      </c>
      <c r="V393" s="431">
        <f>T393+(T393*10%)</f>
        <v>15815733496.452999</v>
      </c>
      <c r="W393" s="36" t="s">
        <v>301</v>
      </c>
      <c r="X393" s="431">
        <f>V393+(V393*10%)</f>
        <v>17397306846.098297</v>
      </c>
      <c r="Y393" s="36" t="s">
        <v>301</v>
      </c>
      <c r="Z393" s="431">
        <f>X393+V393+T393+R393+P393</f>
        <v>72544428677.081299</v>
      </c>
      <c r="AA393" s="52" t="str">
        <f>AA386</f>
        <v>Dinas Dikpora</v>
      </c>
      <c r="AB393" s="50"/>
      <c r="AC393" s="50"/>
      <c r="AD393" s="51"/>
      <c r="AE393" s="52"/>
      <c r="AF393" s="36" t="s">
        <v>156</v>
      </c>
    </row>
    <row r="394" spans="2:32" s="72" customFormat="1" ht="42.75" x14ac:dyDescent="0.3">
      <c r="B394" s="36"/>
      <c r="C394" s="36"/>
      <c r="D394" s="433"/>
      <c r="E394" s="33"/>
      <c r="F394" s="33"/>
      <c r="G394" s="33"/>
      <c r="H394" s="33"/>
      <c r="I394" s="33"/>
      <c r="J394" s="36"/>
      <c r="K394" s="374" t="s">
        <v>293</v>
      </c>
      <c r="L394" s="375" t="s">
        <v>291</v>
      </c>
      <c r="M394" s="362" t="s">
        <v>739</v>
      </c>
      <c r="N394" s="36" t="s">
        <v>589</v>
      </c>
      <c r="O394" s="36" t="s">
        <v>589</v>
      </c>
      <c r="P394" s="50"/>
      <c r="Q394" s="36" t="s">
        <v>589</v>
      </c>
      <c r="R394" s="36"/>
      <c r="S394" s="36" t="s">
        <v>589</v>
      </c>
      <c r="T394" s="36"/>
      <c r="U394" s="36" t="s">
        <v>589</v>
      </c>
      <c r="V394" s="36"/>
      <c r="W394" s="36" t="s">
        <v>589</v>
      </c>
      <c r="X394" s="36"/>
      <c r="Y394" s="36" t="s">
        <v>589</v>
      </c>
      <c r="Z394" s="37"/>
      <c r="AA394" s="52"/>
      <c r="AB394" s="50">
        <f>(94341*10)+(94341*10)*15%</f>
        <v>1084921.5</v>
      </c>
      <c r="AC394" s="50">
        <f>AB394+(AB394*20%)</f>
        <v>1301905.8</v>
      </c>
      <c r="AD394" s="51" t="s">
        <v>66</v>
      </c>
      <c r="AE394" s="52" t="s">
        <v>81</v>
      </c>
      <c r="AF394" s="36"/>
    </row>
    <row r="395" spans="2:32" s="72" customFormat="1" ht="28.5" x14ac:dyDescent="0.3">
      <c r="B395" s="36"/>
      <c r="C395" s="36"/>
      <c r="D395" s="433"/>
      <c r="E395" s="33"/>
      <c r="F395" s="33"/>
      <c r="G395" s="33"/>
      <c r="H395" s="33"/>
      <c r="I395" s="33"/>
      <c r="J395" s="36"/>
      <c r="K395" s="37"/>
      <c r="L395" s="375" t="s">
        <v>291</v>
      </c>
      <c r="M395" s="362" t="s">
        <v>590</v>
      </c>
      <c r="N395" s="36" t="s">
        <v>1130</v>
      </c>
      <c r="O395" s="36" t="s">
        <v>1130</v>
      </c>
      <c r="P395" s="50"/>
      <c r="Q395" s="36" t="s">
        <v>1130</v>
      </c>
      <c r="R395" s="36"/>
      <c r="S395" s="36" t="s">
        <v>1130</v>
      </c>
      <c r="T395" s="36"/>
      <c r="U395" s="36" t="s">
        <v>1130</v>
      </c>
      <c r="V395" s="36"/>
      <c r="W395" s="36" t="s">
        <v>1130</v>
      </c>
      <c r="X395" s="36"/>
      <c r="Y395" s="36" t="s">
        <v>1130</v>
      </c>
      <c r="Z395" s="37"/>
      <c r="AA395" s="52"/>
      <c r="AB395" s="50">
        <f>(18*15000)+(270000*15%)</f>
        <v>310500</v>
      </c>
      <c r="AC395" s="50">
        <f>AB395+(AB395*20%)</f>
        <v>372600</v>
      </c>
      <c r="AD395" s="51" t="s">
        <v>66</v>
      </c>
      <c r="AE395" s="52" t="s">
        <v>81</v>
      </c>
      <c r="AF395" s="36"/>
    </row>
    <row r="396" spans="2:32" s="72" customFormat="1" ht="28.5" x14ac:dyDescent="0.3">
      <c r="B396" s="36"/>
      <c r="C396" s="36"/>
      <c r="D396" s="433"/>
      <c r="E396" s="33"/>
      <c r="F396" s="33"/>
      <c r="G396" s="33"/>
      <c r="H396" s="33"/>
      <c r="I396" s="33"/>
      <c r="J396" s="36"/>
      <c r="K396" s="37"/>
      <c r="L396" s="375" t="s">
        <v>291</v>
      </c>
      <c r="M396" s="362" t="s">
        <v>592</v>
      </c>
      <c r="N396" s="36" t="s">
        <v>744</v>
      </c>
      <c r="O396" s="36" t="s">
        <v>744</v>
      </c>
      <c r="P396" s="50"/>
      <c r="Q396" s="36" t="s">
        <v>744</v>
      </c>
      <c r="R396" s="36"/>
      <c r="S396" s="36" t="s">
        <v>744</v>
      </c>
      <c r="T396" s="36"/>
      <c r="U396" s="36" t="s">
        <v>744</v>
      </c>
      <c r="V396" s="36"/>
      <c r="W396" s="36" t="s">
        <v>744</v>
      </c>
      <c r="X396" s="36"/>
      <c r="Y396" s="36" t="s">
        <v>744</v>
      </c>
      <c r="Z396" s="37"/>
      <c r="AA396" s="52"/>
      <c r="AB396" s="50">
        <f>15*10000</f>
        <v>150000</v>
      </c>
      <c r="AC396" s="50">
        <f>AB396+(AB396*10%)</f>
        <v>165000</v>
      </c>
      <c r="AD396" s="51" t="str">
        <f>AD376</f>
        <v>Dinas Dikpora</v>
      </c>
      <c r="AE396" s="52" t="s">
        <v>81</v>
      </c>
      <c r="AF396" s="36"/>
    </row>
    <row r="397" spans="2:32" s="72" customFormat="1" ht="28.5" x14ac:dyDescent="0.3">
      <c r="B397" s="36"/>
      <c r="C397" s="36"/>
      <c r="D397" s="433"/>
      <c r="E397" s="33"/>
      <c r="F397" s="70"/>
      <c r="G397" s="70"/>
      <c r="H397" s="33"/>
      <c r="I397" s="70"/>
      <c r="J397" s="36"/>
      <c r="K397" s="37"/>
      <c r="L397" s="375" t="s">
        <v>291</v>
      </c>
      <c r="M397" s="362" t="s">
        <v>1265</v>
      </c>
      <c r="N397" s="36" t="s">
        <v>1131</v>
      </c>
      <c r="O397" s="36" t="s">
        <v>1131</v>
      </c>
      <c r="P397" s="50"/>
      <c r="Q397" s="36" t="s">
        <v>1131</v>
      </c>
      <c r="R397" s="36"/>
      <c r="S397" s="36" t="s">
        <v>1131</v>
      </c>
      <c r="T397" s="36"/>
      <c r="U397" s="36" t="s">
        <v>1131</v>
      </c>
      <c r="V397" s="36"/>
      <c r="W397" s="36" t="s">
        <v>1131</v>
      </c>
      <c r="X397" s="36"/>
      <c r="Y397" s="36" t="s">
        <v>1131</v>
      </c>
      <c r="Z397" s="37"/>
      <c r="AA397" s="52" t="s">
        <v>84</v>
      </c>
      <c r="AB397" s="50">
        <f>10000*5</f>
        <v>50000</v>
      </c>
      <c r="AC397" s="50">
        <f>AB397+(AB397*10%)</f>
        <v>55000</v>
      </c>
      <c r="AD397" s="51" t="s">
        <v>66</v>
      </c>
      <c r="AE397" s="52" t="s">
        <v>67</v>
      </c>
      <c r="AF397" s="36"/>
    </row>
    <row r="398" spans="2:32" s="72" customFormat="1" ht="28.5" x14ac:dyDescent="0.3">
      <c r="B398" s="36"/>
      <c r="C398" s="36"/>
      <c r="D398" s="433"/>
      <c r="E398" s="33"/>
      <c r="F398" s="33"/>
      <c r="G398" s="33"/>
      <c r="H398" s="33"/>
      <c r="I398" s="33"/>
      <c r="J398" s="36"/>
      <c r="K398" s="37"/>
      <c r="L398" s="375" t="s">
        <v>291</v>
      </c>
      <c r="M398" s="362" t="s">
        <v>595</v>
      </c>
      <c r="N398" s="36" t="s">
        <v>1132</v>
      </c>
      <c r="O398" s="36" t="s">
        <v>1132</v>
      </c>
      <c r="P398" s="50"/>
      <c r="Q398" s="36" t="s">
        <v>1132</v>
      </c>
      <c r="R398" s="36"/>
      <c r="S398" s="36" t="s">
        <v>1132</v>
      </c>
      <c r="T398" s="36"/>
      <c r="U398" s="36" t="s">
        <v>1132</v>
      </c>
      <c r="V398" s="36"/>
      <c r="W398" s="36" t="s">
        <v>1132</v>
      </c>
      <c r="X398" s="36"/>
      <c r="Y398" s="36" t="s">
        <v>1132</v>
      </c>
      <c r="Z398" s="37"/>
      <c r="AA398" s="52" t="s">
        <v>84</v>
      </c>
      <c r="AB398" s="50"/>
      <c r="AC398" s="50"/>
      <c r="AD398" s="51"/>
      <c r="AE398" s="52"/>
      <c r="AF398" s="36"/>
    </row>
    <row r="399" spans="2:32" s="72" customFormat="1" ht="42.75" x14ac:dyDescent="0.3">
      <c r="B399" s="36"/>
      <c r="C399" s="36"/>
      <c r="D399" s="433"/>
      <c r="E399" s="33"/>
      <c r="F399" s="70"/>
      <c r="G399" s="70"/>
      <c r="H399" s="33"/>
      <c r="I399" s="70"/>
      <c r="J399" s="36"/>
      <c r="K399" s="37"/>
      <c r="L399" s="375" t="s">
        <v>291</v>
      </c>
      <c r="M399" s="362" t="s">
        <v>597</v>
      </c>
      <c r="N399" s="36" t="s">
        <v>598</v>
      </c>
      <c r="O399" s="36" t="s">
        <v>598</v>
      </c>
      <c r="P399" s="50"/>
      <c r="Q399" s="36" t="s">
        <v>598</v>
      </c>
      <c r="R399" s="36"/>
      <c r="S399" s="36" t="s">
        <v>598</v>
      </c>
      <c r="T399" s="36"/>
      <c r="U399" s="36" t="s">
        <v>598</v>
      </c>
      <c r="V399" s="36"/>
      <c r="W399" s="36" t="s">
        <v>598</v>
      </c>
      <c r="X399" s="36"/>
      <c r="Y399" s="36" t="s">
        <v>598</v>
      </c>
      <c r="Z399" s="37"/>
      <c r="AA399" s="52" t="s">
        <v>66</v>
      </c>
      <c r="AB399" s="50">
        <f>10000*12</f>
        <v>120000</v>
      </c>
      <c r="AC399" s="50">
        <f>AB399+(AB399*10%)</f>
        <v>132000</v>
      </c>
      <c r="AD399" s="51" t="str">
        <f>AD397</f>
        <v>Dinas Dikpora</v>
      </c>
      <c r="AE399" s="52" t="s">
        <v>81</v>
      </c>
      <c r="AF399" s="36" t="s">
        <v>156</v>
      </c>
    </row>
    <row r="400" spans="2:32" s="72" customFormat="1" x14ac:dyDescent="0.3">
      <c r="B400" s="36"/>
      <c r="C400" s="36"/>
      <c r="D400" s="433"/>
      <c r="E400" s="33"/>
      <c r="F400" s="70"/>
      <c r="G400" s="70"/>
      <c r="H400" s="33"/>
      <c r="I400" s="70"/>
      <c r="J400" s="36"/>
      <c r="K400" s="37"/>
      <c r="L400" s="375" t="s">
        <v>291</v>
      </c>
      <c r="M400" s="362" t="s">
        <v>1266</v>
      </c>
      <c r="N400" s="36" t="s">
        <v>1133</v>
      </c>
      <c r="O400" s="36" t="s">
        <v>1133</v>
      </c>
      <c r="P400" s="50"/>
      <c r="Q400" s="36" t="s">
        <v>1133</v>
      </c>
      <c r="R400" s="36"/>
      <c r="S400" s="36" t="s">
        <v>1133</v>
      </c>
      <c r="T400" s="36"/>
      <c r="U400" s="36" t="s">
        <v>1133</v>
      </c>
      <c r="V400" s="36"/>
      <c r="W400" s="36" t="s">
        <v>1133</v>
      </c>
      <c r="X400" s="36"/>
      <c r="Y400" s="36" t="s">
        <v>1133</v>
      </c>
      <c r="Z400" s="37"/>
      <c r="AA400" s="52" t="str">
        <f>AA399</f>
        <v>Dinas Dikpora</v>
      </c>
      <c r="AB400" s="50"/>
      <c r="AC400" s="50"/>
      <c r="AD400" s="51"/>
      <c r="AE400" s="52"/>
      <c r="AF400" s="36" t="s">
        <v>156</v>
      </c>
    </row>
    <row r="401" spans="2:32" s="72" customFormat="1" ht="28.5" x14ac:dyDescent="0.3">
      <c r="B401" s="36"/>
      <c r="C401" s="37"/>
      <c r="D401" s="444"/>
      <c r="E401" s="33"/>
      <c r="F401" s="33"/>
      <c r="G401" s="33"/>
      <c r="H401" s="33"/>
      <c r="I401" s="33"/>
      <c r="J401" s="36"/>
      <c r="K401" s="37"/>
      <c r="L401" s="375" t="s">
        <v>291</v>
      </c>
      <c r="M401" s="362" t="s">
        <v>519</v>
      </c>
      <c r="N401" s="36" t="s">
        <v>601</v>
      </c>
      <c r="O401" s="36" t="s">
        <v>601</v>
      </c>
      <c r="P401" s="50"/>
      <c r="Q401" s="36" t="s">
        <v>601</v>
      </c>
      <c r="R401" s="36"/>
      <c r="S401" s="36" t="s">
        <v>601</v>
      </c>
      <c r="T401" s="36"/>
      <c r="U401" s="36" t="s">
        <v>601</v>
      </c>
      <c r="V401" s="36"/>
      <c r="W401" s="36" t="s">
        <v>601</v>
      </c>
      <c r="X401" s="36"/>
      <c r="Y401" s="36" t="s">
        <v>601</v>
      </c>
      <c r="Z401" s="37"/>
      <c r="AA401" s="52"/>
      <c r="AB401" s="50">
        <f>364*5000</f>
        <v>1820000</v>
      </c>
      <c r="AC401" s="50">
        <f>AB401</f>
        <v>1820000</v>
      </c>
      <c r="AD401" s="51" t="s">
        <v>84</v>
      </c>
      <c r="AE401" s="52" t="s">
        <v>81</v>
      </c>
      <c r="AF401" s="36"/>
    </row>
    <row r="402" spans="2:32" s="72" customFormat="1" ht="28.5" x14ac:dyDescent="0.3">
      <c r="B402" s="36"/>
      <c r="C402" s="46"/>
      <c r="D402" s="444"/>
      <c r="E402" s="33"/>
      <c r="F402" s="33"/>
      <c r="G402" s="33"/>
      <c r="H402" s="33"/>
      <c r="I402" s="33"/>
      <c r="J402" s="36"/>
      <c r="K402" s="374" t="s">
        <v>294</v>
      </c>
      <c r="L402" s="375" t="s">
        <v>291</v>
      </c>
      <c r="M402" s="362" t="s">
        <v>1437</v>
      </c>
      <c r="N402" s="41">
        <v>0.9</v>
      </c>
      <c r="O402" s="41">
        <v>0.9</v>
      </c>
      <c r="P402" s="50"/>
      <c r="Q402" s="41">
        <v>0.9</v>
      </c>
      <c r="R402" s="36"/>
      <c r="S402" s="41">
        <v>0.9</v>
      </c>
      <c r="T402" s="36"/>
      <c r="U402" s="41">
        <v>0.9</v>
      </c>
      <c r="V402" s="36"/>
      <c r="W402" s="41">
        <v>0.9</v>
      </c>
      <c r="X402" s="36"/>
      <c r="Y402" s="41">
        <v>0.9</v>
      </c>
      <c r="Z402" s="37"/>
      <c r="AA402" s="52"/>
      <c r="AB402" s="50"/>
      <c r="AC402" s="50"/>
      <c r="AD402" s="51"/>
      <c r="AE402" s="52"/>
      <c r="AF402" s="36"/>
    </row>
    <row r="403" spans="2:32" s="72" customFormat="1" x14ac:dyDescent="0.3">
      <c r="B403" s="36"/>
      <c r="C403" s="46"/>
      <c r="D403" s="444"/>
      <c r="E403" s="33"/>
      <c r="F403" s="33"/>
      <c r="G403" s="33"/>
      <c r="H403" s="33"/>
      <c r="I403" s="33"/>
      <c r="J403" s="36"/>
      <c r="K403" s="374" t="s">
        <v>295</v>
      </c>
      <c r="L403" s="375" t="s">
        <v>291</v>
      </c>
      <c r="M403" s="384" t="s">
        <v>1435</v>
      </c>
      <c r="N403" s="36"/>
      <c r="O403" s="36"/>
      <c r="P403" s="50"/>
      <c r="Q403" s="36"/>
      <c r="R403" s="36"/>
      <c r="S403" s="36"/>
      <c r="T403" s="36"/>
      <c r="U403" s="36"/>
      <c r="V403" s="36"/>
      <c r="W403" s="36"/>
      <c r="X403" s="36"/>
      <c r="Y403" s="36"/>
      <c r="Z403" s="37"/>
      <c r="AA403" s="52"/>
      <c r="AB403" s="50"/>
      <c r="AC403" s="50"/>
      <c r="AD403" s="51"/>
      <c r="AE403" s="52"/>
      <c r="AF403" s="36"/>
    </row>
    <row r="404" spans="2:32" s="72" customFormat="1" x14ac:dyDescent="0.3">
      <c r="B404" s="92"/>
      <c r="C404" s="380"/>
      <c r="D404" s="446"/>
      <c r="E404" s="91"/>
      <c r="F404" s="91"/>
      <c r="G404" s="91"/>
      <c r="H404" s="91"/>
      <c r="I404" s="91"/>
      <c r="J404" s="92"/>
      <c r="K404" s="377" t="s">
        <v>297</v>
      </c>
      <c r="L404" s="378" t="s">
        <v>291</v>
      </c>
      <c r="M404" s="385" t="s">
        <v>1433</v>
      </c>
      <c r="N404" s="92"/>
      <c r="O404" s="92"/>
      <c r="P404" s="93"/>
      <c r="Q404" s="92"/>
      <c r="R404" s="92"/>
      <c r="S404" s="92"/>
      <c r="T404" s="92"/>
      <c r="U404" s="92"/>
      <c r="V404" s="92"/>
      <c r="W404" s="92"/>
      <c r="X404" s="92"/>
      <c r="Y404" s="92"/>
      <c r="Z404" s="101"/>
      <c r="AA404" s="95"/>
      <c r="AB404" s="93"/>
      <c r="AC404" s="93"/>
      <c r="AD404" s="94"/>
      <c r="AE404" s="95"/>
      <c r="AF404" s="92"/>
    </row>
    <row r="405" spans="2:32" s="72" customFormat="1" x14ac:dyDescent="0.3">
      <c r="B405" s="36"/>
      <c r="C405" s="46"/>
      <c r="D405" s="444"/>
      <c r="E405" s="33"/>
      <c r="F405" s="33"/>
      <c r="G405" s="33"/>
      <c r="H405" s="33"/>
      <c r="I405" s="33"/>
      <c r="J405" s="36"/>
      <c r="K405" s="37"/>
      <c r="L405" s="375"/>
      <c r="M405" s="362"/>
      <c r="N405" s="36"/>
      <c r="O405" s="36"/>
      <c r="P405" s="50"/>
      <c r="Q405" s="36"/>
      <c r="R405" s="36"/>
      <c r="S405" s="36"/>
      <c r="T405" s="36"/>
      <c r="U405" s="36"/>
      <c r="V405" s="36"/>
      <c r="W405" s="36"/>
      <c r="X405" s="36"/>
      <c r="Y405" s="36"/>
      <c r="Z405" s="37"/>
      <c r="AA405" s="52"/>
      <c r="AB405" s="50"/>
      <c r="AC405" s="50"/>
      <c r="AD405" s="51"/>
      <c r="AE405" s="52"/>
      <c r="AF405" s="36"/>
    </row>
    <row r="406" spans="2:32" s="72" customFormat="1" ht="28.5" x14ac:dyDescent="0.3">
      <c r="B406" s="36"/>
      <c r="C406" s="46"/>
      <c r="D406" s="444"/>
      <c r="E406" s="33">
        <v>1</v>
      </c>
      <c r="F406" s="70" t="s">
        <v>131</v>
      </c>
      <c r="G406" s="70" t="s">
        <v>131</v>
      </c>
      <c r="H406" s="33">
        <v>16</v>
      </c>
      <c r="I406" s="34">
        <v>5</v>
      </c>
      <c r="J406" s="36" t="s">
        <v>160</v>
      </c>
      <c r="K406" s="374" t="s">
        <v>290</v>
      </c>
      <c r="L406" s="375" t="s">
        <v>291</v>
      </c>
      <c r="M406" s="375" t="s">
        <v>292</v>
      </c>
      <c r="N406" s="36" t="s">
        <v>301</v>
      </c>
      <c r="O406" s="36" t="s">
        <v>301</v>
      </c>
      <c r="P406" s="50">
        <v>94069000</v>
      </c>
      <c r="Q406" s="36" t="s">
        <v>301</v>
      </c>
      <c r="R406" s="431">
        <f>P406+(P406*10%)</f>
        <v>103475900</v>
      </c>
      <c r="S406" s="36" t="s">
        <v>301</v>
      </c>
      <c r="T406" s="431">
        <f>R406+(R406*10%)</f>
        <v>113823490</v>
      </c>
      <c r="U406" s="36" t="s">
        <v>301</v>
      </c>
      <c r="V406" s="431">
        <f>T406+(T406*10%)</f>
        <v>125205839</v>
      </c>
      <c r="W406" s="36" t="s">
        <v>301</v>
      </c>
      <c r="X406" s="431">
        <f>V406+(V406*10%)</f>
        <v>137726422.90000001</v>
      </c>
      <c r="Y406" s="36" t="s">
        <v>301</v>
      </c>
      <c r="Z406" s="431">
        <f>X406+V406+T406+R406+P406</f>
        <v>574300651.89999998</v>
      </c>
      <c r="AA406" s="52" t="str">
        <f>AA400</f>
        <v>Dinas Dikpora</v>
      </c>
      <c r="AB406" s="50">
        <v>0</v>
      </c>
      <c r="AC406" s="50">
        <f t="shared" ref="AC406" si="16">AB406</f>
        <v>0</v>
      </c>
      <c r="AD406" s="51" t="s">
        <v>84</v>
      </c>
      <c r="AE406" s="52" t="s">
        <v>81</v>
      </c>
      <c r="AF406" s="36" t="s">
        <v>156</v>
      </c>
    </row>
    <row r="407" spans="2:32" s="72" customFormat="1" ht="28.5" x14ac:dyDescent="0.3">
      <c r="B407" s="36"/>
      <c r="C407" s="46"/>
      <c r="D407" s="444"/>
      <c r="E407" s="33"/>
      <c r="F407" s="33"/>
      <c r="G407" s="33"/>
      <c r="H407" s="33"/>
      <c r="I407" s="33"/>
      <c r="J407" s="36"/>
      <c r="K407" s="374" t="s">
        <v>293</v>
      </c>
      <c r="L407" s="375" t="s">
        <v>291</v>
      </c>
      <c r="M407" s="362" t="s">
        <v>1267</v>
      </c>
      <c r="N407" s="36" t="s">
        <v>1134</v>
      </c>
      <c r="O407" s="36" t="s">
        <v>1134</v>
      </c>
      <c r="P407" s="50"/>
      <c r="Q407" s="36" t="s">
        <v>1134</v>
      </c>
      <c r="R407" s="36"/>
      <c r="S407" s="36" t="s">
        <v>1134</v>
      </c>
      <c r="T407" s="36"/>
      <c r="U407" s="36" t="s">
        <v>1134</v>
      </c>
      <c r="V407" s="36"/>
      <c r="W407" s="36" t="s">
        <v>1134</v>
      </c>
      <c r="X407" s="36"/>
      <c r="Y407" s="36" t="s">
        <v>1134</v>
      </c>
      <c r="Z407" s="37"/>
      <c r="AA407" s="52"/>
      <c r="AB407" s="50">
        <f>150*2000</f>
        <v>300000</v>
      </c>
      <c r="AC407" s="50">
        <f>AB407+(AB407*10%)</f>
        <v>330000</v>
      </c>
      <c r="AD407" s="51" t="s">
        <v>84</v>
      </c>
      <c r="AE407" s="52" t="s">
        <v>81</v>
      </c>
      <c r="AF407" s="36"/>
    </row>
    <row r="408" spans="2:32" s="72" customFormat="1" ht="28.5" x14ac:dyDescent="0.3">
      <c r="B408" s="36"/>
      <c r="C408" s="36"/>
      <c r="D408" s="433"/>
      <c r="E408" s="33"/>
      <c r="F408" s="33"/>
      <c r="G408" s="33"/>
      <c r="H408" s="33"/>
      <c r="I408" s="33"/>
      <c r="J408" s="36"/>
      <c r="K408" s="37"/>
      <c r="L408" s="375" t="s">
        <v>291</v>
      </c>
      <c r="M408" s="362" t="s">
        <v>630</v>
      </c>
      <c r="N408" s="36" t="s">
        <v>744</v>
      </c>
      <c r="O408" s="36" t="s">
        <v>744</v>
      </c>
      <c r="P408" s="50"/>
      <c r="Q408" s="36" t="s">
        <v>744</v>
      </c>
      <c r="R408" s="36"/>
      <c r="S408" s="36" t="s">
        <v>744</v>
      </c>
      <c r="T408" s="36"/>
      <c r="U408" s="36" t="s">
        <v>744</v>
      </c>
      <c r="V408" s="36"/>
      <c r="W408" s="36" t="s">
        <v>744</v>
      </c>
      <c r="X408" s="36"/>
      <c r="Y408" s="36" t="s">
        <v>744</v>
      </c>
      <c r="Z408" s="37"/>
      <c r="AA408" s="52"/>
      <c r="AB408" s="50">
        <f>13*4000</f>
        <v>52000</v>
      </c>
      <c r="AC408" s="50">
        <f>AB408+(AB408*10%)</f>
        <v>57200</v>
      </c>
      <c r="AD408" s="51" t="e">
        <f>#REF!</f>
        <v>#REF!</v>
      </c>
      <c r="AE408" s="52" t="s">
        <v>81</v>
      </c>
      <c r="AF408" s="36"/>
    </row>
    <row r="409" spans="2:32" s="72" customFormat="1" ht="28.5" x14ac:dyDescent="0.3">
      <c r="B409" s="36"/>
      <c r="C409" s="36"/>
      <c r="D409" s="433"/>
      <c r="E409" s="33"/>
      <c r="F409" s="33"/>
      <c r="G409" s="33"/>
      <c r="H409" s="33"/>
      <c r="I409" s="33"/>
      <c r="J409" s="36"/>
      <c r="K409" s="37"/>
      <c r="L409" s="375" t="s">
        <v>291</v>
      </c>
      <c r="M409" s="362" t="s">
        <v>632</v>
      </c>
      <c r="N409" s="36" t="s">
        <v>1124</v>
      </c>
      <c r="O409" s="36" t="s">
        <v>1124</v>
      </c>
      <c r="P409" s="50"/>
      <c r="Q409" s="36" t="s">
        <v>1124</v>
      </c>
      <c r="R409" s="36"/>
      <c r="S409" s="36" t="s">
        <v>1124</v>
      </c>
      <c r="T409" s="36"/>
      <c r="U409" s="36" t="s">
        <v>1124</v>
      </c>
      <c r="V409" s="36"/>
      <c r="W409" s="36" t="s">
        <v>1124</v>
      </c>
      <c r="X409" s="36"/>
      <c r="Y409" s="36" t="s">
        <v>1124</v>
      </c>
      <c r="Z409" s="37"/>
      <c r="AA409" s="52"/>
      <c r="AB409" s="50">
        <f>5*3500</f>
        <v>17500</v>
      </c>
      <c r="AC409" s="50">
        <f>AB409+(AB409*30%)</f>
        <v>22750</v>
      </c>
      <c r="AD409" s="51" t="e">
        <f>AD387</f>
        <v>#REF!</v>
      </c>
      <c r="AE409" s="52" t="s">
        <v>81</v>
      </c>
      <c r="AF409" s="36"/>
    </row>
    <row r="410" spans="2:32" s="72" customFormat="1" ht="28.5" x14ac:dyDescent="0.3">
      <c r="B410" s="36"/>
      <c r="C410" s="36"/>
      <c r="D410" s="433"/>
      <c r="E410" s="33"/>
      <c r="F410" s="33"/>
      <c r="G410" s="33"/>
      <c r="H410" s="33"/>
      <c r="I410" s="33"/>
      <c r="J410" s="36"/>
      <c r="K410" s="37"/>
      <c r="L410" s="375" t="s">
        <v>291</v>
      </c>
      <c r="M410" s="362" t="s">
        <v>634</v>
      </c>
      <c r="N410" s="36" t="s">
        <v>1135</v>
      </c>
      <c r="O410" s="36" t="s">
        <v>1135</v>
      </c>
      <c r="P410" s="50"/>
      <c r="Q410" s="36" t="s">
        <v>1135</v>
      </c>
      <c r="R410" s="36"/>
      <c r="S410" s="36" t="s">
        <v>1135</v>
      </c>
      <c r="T410" s="36"/>
      <c r="U410" s="36" t="s">
        <v>1135</v>
      </c>
      <c r="V410" s="36"/>
      <c r="W410" s="36" t="s">
        <v>1135</v>
      </c>
      <c r="X410" s="36"/>
      <c r="Y410" s="36" t="s">
        <v>1135</v>
      </c>
      <c r="Z410" s="37"/>
      <c r="AA410" s="52"/>
      <c r="AB410" s="50">
        <f>3000*12</f>
        <v>36000</v>
      </c>
      <c r="AC410" s="50">
        <f>AB410+(AB410*10%)-400</f>
        <v>39200</v>
      </c>
      <c r="AD410" s="51" t="e">
        <f>AD388</f>
        <v>#REF!</v>
      </c>
      <c r="AE410" s="52" t="s">
        <v>81</v>
      </c>
      <c r="AF410" s="36"/>
    </row>
    <row r="411" spans="2:32" s="72" customFormat="1" ht="28.5" x14ac:dyDescent="0.3">
      <c r="B411" s="36"/>
      <c r="C411" s="36"/>
      <c r="D411" s="433"/>
      <c r="E411" s="33"/>
      <c r="F411" s="70"/>
      <c r="G411" s="70"/>
      <c r="H411" s="33"/>
      <c r="I411" s="70"/>
      <c r="J411" s="36"/>
      <c r="K411" s="37"/>
      <c r="L411" s="375" t="s">
        <v>291</v>
      </c>
      <c r="M411" s="362" t="s">
        <v>1268</v>
      </c>
      <c r="N411" s="36" t="s">
        <v>1134</v>
      </c>
      <c r="O411" s="36" t="s">
        <v>1134</v>
      </c>
      <c r="P411" s="50"/>
      <c r="Q411" s="36" t="s">
        <v>1134</v>
      </c>
      <c r="R411" s="36"/>
      <c r="S411" s="36" t="s">
        <v>1134</v>
      </c>
      <c r="T411" s="36"/>
      <c r="U411" s="36" t="s">
        <v>1134</v>
      </c>
      <c r="V411" s="36"/>
      <c r="W411" s="36" t="s">
        <v>1134</v>
      </c>
      <c r="X411" s="36"/>
      <c r="Y411" s="36" t="s">
        <v>1134</v>
      </c>
      <c r="Z411" s="37"/>
      <c r="AA411" s="52"/>
      <c r="AB411" s="50">
        <f>7*8000</f>
        <v>56000</v>
      </c>
      <c r="AC411" s="50">
        <f>AB411+(AB411*20%)</f>
        <v>67200</v>
      </c>
      <c r="AD411" s="51" t="e">
        <f>AD409</f>
        <v>#REF!</v>
      </c>
      <c r="AE411" s="52" t="s">
        <v>81</v>
      </c>
      <c r="AF411" s="36"/>
    </row>
    <row r="412" spans="2:32" s="72" customFormat="1" ht="28.5" x14ac:dyDescent="0.3">
      <c r="B412" s="36"/>
      <c r="C412" s="36"/>
      <c r="D412" s="433"/>
      <c r="E412" s="33"/>
      <c r="F412" s="70"/>
      <c r="G412" s="70"/>
      <c r="H412" s="33"/>
      <c r="I412" s="70"/>
      <c r="J412" s="36"/>
      <c r="K412" s="374" t="s">
        <v>294</v>
      </c>
      <c r="L412" s="375" t="s">
        <v>291</v>
      </c>
      <c r="M412" s="362" t="s">
        <v>1438</v>
      </c>
      <c r="N412" s="41">
        <v>1</v>
      </c>
      <c r="O412" s="41">
        <v>1</v>
      </c>
      <c r="P412" s="50"/>
      <c r="Q412" s="41">
        <v>1</v>
      </c>
      <c r="R412" s="36"/>
      <c r="S412" s="41">
        <v>1</v>
      </c>
      <c r="T412" s="36"/>
      <c r="U412" s="41">
        <v>1</v>
      </c>
      <c r="V412" s="36"/>
      <c r="W412" s="41">
        <v>1</v>
      </c>
      <c r="X412" s="36"/>
      <c r="Y412" s="41">
        <v>1</v>
      </c>
      <c r="Z412" s="37"/>
      <c r="AA412" s="52"/>
      <c r="AB412" s="50"/>
      <c r="AC412" s="50"/>
      <c r="AD412" s="51"/>
      <c r="AE412" s="52"/>
      <c r="AF412" s="36"/>
    </row>
    <row r="413" spans="2:32" s="72" customFormat="1" ht="28.5" x14ac:dyDescent="0.3">
      <c r="B413" s="36"/>
      <c r="C413" s="36"/>
      <c r="D413" s="433"/>
      <c r="E413" s="33"/>
      <c r="F413" s="70"/>
      <c r="G413" s="70"/>
      <c r="H413" s="33"/>
      <c r="I413" s="70"/>
      <c r="J413" s="36"/>
      <c r="K413" s="374"/>
      <c r="L413" s="375" t="s">
        <v>291</v>
      </c>
      <c r="M413" s="362" t="s">
        <v>1439</v>
      </c>
      <c r="N413" s="41">
        <v>1</v>
      </c>
      <c r="O413" s="41">
        <v>1</v>
      </c>
      <c r="P413" s="50"/>
      <c r="Q413" s="41">
        <v>1</v>
      </c>
      <c r="R413" s="36"/>
      <c r="S413" s="41">
        <v>1</v>
      </c>
      <c r="T413" s="36"/>
      <c r="U413" s="41">
        <v>1</v>
      </c>
      <c r="V413" s="36"/>
      <c r="W413" s="41">
        <v>1</v>
      </c>
      <c r="X413" s="36"/>
      <c r="Y413" s="41">
        <v>1</v>
      </c>
      <c r="Z413" s="37"/>
      <c r="AA413" s="52"/>
      <c r="AB413" s="50"/>
      <c r="AC413" s="50"/>
      <c r="AD413" s="51"/>
      <c r="AE413" s="52"/>
      <c r="AF413" s="36"/>
    </row>
    <row r="414" spans="2:32" s="72" customFormat="1" ht="28.5" x14ac:dyDescent="0.3">
      <c r="B414" s="36"/>
      <c r="C414" s="36"/>
      <c r="D414" s="433"/>
      <c r="E414" s="33"/>
      <c r="F414" s="70"/>
      <c r="G414" s="70"/>
      <c r="H414" s="33"/>
      <c r="I414" s="70"/>
      <c r="J414" s="36"/>
      <c r="K414" s="374"/>
      <c r="L414" s="375" t="s">
        <v>291</v>
      </c>
      <c r="M414" s="362" t="s">
        <v>1440</v>
      </c>
      <c r="N414" s="41">
        <v>1</v>
      </c>
      <c r="O414" s="41">
        <v>1</v>
      </c>
      <c r="P414" s="50"/>
      <c r="Q414" s="41">
        <v>1</v>
      </c>
      <c r="R414" s="36"/>
      <c r="S414" s="41">
        <v>1</v>
      </c>
      <c r="T414" s="36"/>
      <c r="U414" s="41">
        <v>1</v>
      </c>
      <c r="V414" s="36"/>
      <c r="W414" s="41">
        <v>1</v>
      </c>
      <c r="X414" s="36"/>
      <c r="Y414" s="41">
        <v>1</v>
      </c>
      <c r="Z414" s="37"/>
      <c r="AA414" s="52"/>
      <c r="AB414" s="50"/>
      <c r="AC414" s="50"/>
      <c r="AD414" s="51"/>
      <c r="AE414" s="52"/>
      <c r="AF414" s="36"/>
    </row>
    <row r="415" spans="2:32" s="72" customFormat="1" x14ac:dyDescent="0.3">
      <c r="B415" s="36"/>
      <c r="C415" s="36"/>
      <c r="D415" s="433"/>
      <c r="E415" s="33"/>
      <c r="F415" s="70"/>
      <c r="G415" s="70"/>
      <c r="H415" s="33"/>
      <c r="I415" s="70"/>
      <c r="J415" s="36"/>
      <c r="K415" s="374"/>
      <c r="L415" s="375" t="s">
        <v>291</v>
      </c>
      <c r="M415" s="362" t="s">
        <v>1441</v>
      </c>
      <c r="N415" s="41">
        <v>1</v>
      </c>
      <c r="O415" s="41">
        <v>1</v>
      </c>
      <c r="P415" s="50"/>
      <c r="Q415" s="41">
        <v>1</v>
      </c>
      <c r="R415" s="36"/>
      <c r="S415" s="41">
        <v>1</v>
      </c>
      <c r="T415" s="36"/>
      <c r="U415" s="41">
        <v>1</v>
      </c>
      <c r="V415" s="36"/>
      <c r="W415" s="41">
        <v>1</v>
      </c>
      <c r="X415" s="36"/>
      <c r="Y415" s="41">
        <v>1</v>
      </c>
      <c r="Z415" s="37"/>
      <c r="AA415" s="52"/>
      <c r="AB415" s="50"/>
      <c r="AC415" s="50"/>
      <c r="AD415" s="51"/>
      <c r="AE415" s="52"/>
      <c r="AF415" s="36"/>
    </row>
    <row r="416" spans="2:32" s="72" customFormat="1" ht="28.5" x14ac:dyDescent="0.3">
      <c r="B416" s="36"/>
      <c r="C416" s="36"/>
      <c r="D416" s="433"/>
      <c r="E416" s="33"/>
      <c r="F416" s="70"/>
      <c r="G416" s="70"/>
      <c r="H416" s="33"/>
      <c r="I416" s="70"/>
      <c r="J416" s="36"/>
      <c r="K416" s="374"/>
      <c r="L416" s="375" t="s">
        <v>291</v>
      </c>
      <c r="M416" s="362" t="s">
        <v>1442</v>
      </c>
      <c r="N416" s="41">
        <v>1</v>
      </c>
      <c r="O416" s="41">
        <v>1</v>
      </c>
      <c r="P416" s="50"/>
      <c r="Q416" s="41">
        <v>1</v>
      </c>
      <c r="R416" s="36"/>
      <c r="S416" s="41">
        <v>1</v>
      </c>
      <c r="T416" s="36"/>
      <c r="U416" s="41">
        <v>1</v>
      </c>
      <c r="V416" s="36"/>
      <c r="W416" s="41">
        <v>1</v>
      </c>
      <c r="X416" s="36"/>
      <c r="Y416" s="41">
        <v>1</v>
      </c>
      <c r="Z416" s="37"/>
      <c r="AA416" s="52"/>
      <c r="AB416" s="50"/>
      <c r="AC416" s="50"/>
      <c r="AD416" s="51"/>
      <c r="AE416" s="52"/>
      <c r="AF416" s="36"/>
    </row>
    <row r="417" spans="2:32" s="72" customFormat="1" x14ac:dyDescent="0.3">
      <c r="B417" s="36"/>
      <c r="C417" s="36"/>
      <c r="D417" s="433"/>
      <c r="E417" s="33"/>
      <c r="F417" s="70"/>
      <c r="G417" s="70"/>
      <c r="H417" s="33"/>
      <c r="I417" s="70"/>
      <c r="J417" s="36"/>
      <c r="K417" s="374" t="s">
        <v>295</v>
      </c>
      <c r="L417" s="375" t="s">
        <v>291</v>
      </c>
      <c r="M417" s="384" t="s">
        <v>1435</v>
      </c>
      <c r="N417" s="36"/>
      <c r="O417" s="36"/>
      <c r="P417" s="50"/>
      <c r="Q417" s="36"/>
      <c r="R417" s="36"/>
      <c r="S417" s="36"/>
      <c r="T417" s="36"/>
      <c r="U417" s="36"/>
      <c r="V417" s="36"/>
      <c r="W417" s="36"/>
      <c r="X417" s="36"/>
      <c r="Y417" s="36"/>
      <c r="Z417" s="37"/>
      <c r="AA417" s="52"/>
      <c r="AB417" s="50"/>
      <c r="AC417" s="50"/>
      <c r="AD417" s="51"/>
      <c r="AE417" s="52"/>
      <c r="AF417" s="36"/>
    </row>
    <row r="418" spans="2:32" s="72" customFormat="1" x14ac:dyDescent="0.3">
      <c r="B418" s="92"/>
      <c r="C418" s="92"/>
      <c r="D418" s="445"/>
      <c r="E418" s="91"/>
      <c r="F418" s="409"/>
      <c r="G418" s="409"/>
      <c r="H418" s="91"/>
      <c r="I418" s="409"/>
      <c r="J418" s="92"/>
      <c r="K418" s="377" t="s">
        <v>297</v>
      </c>
      <c r="L418" s="378" t="s">
        <v>291</v>
      </c>
      <c r="M418" s="385" t="s">
        <v>1433</v>
      </c>
      <c r="N418" s="92"/>
      <c r="O418" s="92"/>
      <c r="P418" s="93"/>
      <c r="Q418" s="92"/>
      <c r="R418" s="92"/>
      <c r="S418" s="92"/>
      <c r="T418" s="92"/>
      <c r="U418" s="92"/>
      <c r="V418" s="92"/>
      <c r="W418" s="92"/>
      <c r="X418" s="92"/>
      <c r="Y418" s="92"/>
      <c r="Z418" s="101"/>
      <c r="AA418" s="95"/>
      <c r="AB418" s="93"/>
      <c r="AC418" s="93"/>
      <c r="AD418" s="94"/>
      <c r="AE418" s="95"/>
      <c r="AF418" s="92"/>
    </row>
    <row r="419" spans="2:32" s="72" customFormat="1" x14ac:dyDescent="0.3">
      <c r="B419" s="36"/>
      <c r="C419" s="36"/>
      <c r="D419" s="433"/>
      <c r="E419" s="33"/>
      <c r="F419" s="70"/>
      <c r="G419" s="70"/>
      <c r="H419" s="33"/>
      <c r="I419" s="70"/>
      <c r="J419" s="36"/>
      <c r="K419" s="37"/>
      <c r="L419" s="375"/>
      <c r="M419" s="362"/>
      <c r="N419" s="36"/>
      <c r="O419" s="36"/>
      <c r="P419" s="50"/>
      <c r="Q419" s="36"/>
      <c r="R419" s="36"/>
      <c r="S419" s="36"/>
      <c r="T419" s="36"/>
      <c r="U419" s="36"/>
      <c r="V419" s="36"/>
      <c r="W419" s="36"/>
      <c r="X419" s="36"/>
      <c r="Y419" s="36"/>
      <c r="Z419" s="37"/>
      <c r="AA419" s="52"/>
      <c r="AB419" s="50"/>
      <c r="AC419" s="50"/>
      <c r="AD419" s="51"/>
      <c r="AE419" s="52"/>
      <c r="AF419" s="36"/>
    </row>
    <row r="420" spans="2:32" s="72" customFormat="1" x14ac:dyDescent="0.3">
      <c r="B420" s="36"/>
      <c r="C420" s="36"/>
      <c r="D420" s="433"/>
      <c r="E420" s="33">
        <v>1</v>
      </c>
      <c r="F420" s="70" t="s">
        <v>131</v>
      </c>
      <c r="G420" s="70" t="s">
        <v>131</v>
      </c>
      <c r="H420" s="33">
        <v>16</v>
      </c>
      <c r="I420" s="34">
        <v>7</v>
      </c>
      <c r="J420" s="36" t="s">
        <v>161</v>
      </c>
      <c r="K420" s="374" t="s">
        <v>290</v>
      </c>
      <c r="L420" s="375" t="s">
        <v>291</v>
      </c>
      <c r="M420" s="375" t="s">
        <v>292</v>
      </c>
      <c r="N420" s="36" t="s">
        <v>301</v>
      </c>
      <c r="O420" s="36" t="s">
        <v>301</v>
      </c>
      <c r="P420" s="84">
        <v>129465000</v>
      </c>
      <c r="Q420" s="36" t="s">
        <v>301</v>
      </c>
      <c r="R420" s="431">
        <f>P420+(P420*10%)</f>
        <v>142411500</v>
      </c>
      <c r="S420" s="36" t="s">
        <v>301</v>
      </c>
      <c r="T420" s="431">
        <f>R420+(R420*10%)</f>
        <v>156652650</v>
      </c>
      <c r="U420" s="36" t="s">
        <v>301</v>
      </c>
      <c r="V420" s="431">
        <f>T420+(T420*10%)</f>
        <v>172317915</v>
      </c>
      <c r="W420" s="36" t="s">
        <v>301</v>
      </c>
      <c r="X420" s="431">
        <f>V420+(V420*10%)</f>
        <v>189549706.5</v>
      </c>
      <c r="Y420" s="36" t="s">
        <v>301</v>
      </c>
      <c r="Z420" s="431">
        <f>X420+V420+T420+R420+P420</f>
        <v>790396771.5</v>
      </c>
      <c r="AA420" s="52" t="s">
        <v>66</v>
      </c>
      <c r="AB420" s="50"/>
      <c r="AC420" s="50"/>
      <c r="AD420" s="51"/>
      <c r="AE420" s="52"/>
      <c r="AF420" s="36" t="s">
        <v>156</v>
      </c>
    </row>
    <row r="421" spans="2:32" s="72" customFormat="1" ht="28.5" x14ac:dyDescent="0.3">
      <c r="B421" s="36"/>
      <c r="C421" s="36"/>
      <c r="D421" s="433"/>
      <c r="E421" s="33"/>
      <c r="F421" s="33"/>
      <c r="G421" s="33"/>
      <c r="H421" s="33"/>
      <c r="I421" s="33"/>
      <c r="J421" s="36"/>
      <c r="K421" s="374" t="s">
        <v>293</v>
      </c>
      <c r="L421" s="375" t="s">
        <v>291</v>
      </c>
      <c r="M421" s="363" t="s">
        <v>1269</v>
      </c>
      <c r="N421" s="36" t="s">
        <v>652</v>
      </c>
      <c r="O421" s="36" t="s">
        <v>652</v>
      </c>
      <c r="P421" s="50"/>
      <c r="Q421" s="36" t="s">
        <v>652</v>
      </c>
      <c r="R421" s="36"/>
      <c r="S421" s="36" t="s">
        <v>652</v>
      </c>
      <c r="T421" s="36"/>
      <c r="U421" s="36" t="s">
        <v>652</v>
      </c>
      <c r="V421" s="36"/>
      <c r="W421" s="36" t="s">
        <v>652</v>
      </c>
      <c r="X421" s="36"/>
      <c r="Y421" s="36" t="s">
        <v>652</v>
      </c>
      <c r="Z421" s="37"/>
      <c r="AA421" s="52"/>
      <c r="AB421" s="50">
        <f>25*3500</f>
        <v>87500</v>
      </c>
      <c r="AC421" s="50">
        <f>AB421+(AB421*20%)</f>
        <v>105000</v>
      </c>
      <c r="AD421" s="51" t="e">
        <f>AD410</f>
        <v>#REF!</v>
      </c>
      <c r="AE421" s="52" t="s">
        <v>81</v>
      </c>
      <c r="AF421" s="36"/>
    </row>
    <row r="422" spans="2:32" s="72" customFormat="1" x14ac:dyDescent="0.3">
      <c r="B422" s="36"/>
      <c r="C422" s="36"/>
      <c r="D422" s="433"/>
      <c r="E422" s="33"/>
      <c r="F422" s="33"/>
      <c r="G422" s="33"/>
      <c r="H422" s="33"/>
      <c r="I422" s="33"/>
      <c r="J422" s="36"/>
      <c r="K422" s="37"/>
      <c r="L422" s="375" t="s">
        <v>291</v>
      </c>
      <c r="M422" s="363" t="s">
        <v>1270</v>
      </c>
      <c r="N422" s="36" t="s">
        <v>654</v>
      </c>
      <c r="O422" s="36" t="s">
        <v>654</v>
      </c>
      <c r="P422" s="50"/>
      <c r="Q422" s="36" t="s">
        <v>654</v>
      </c>
      <c r="R422" s="36"/>
      <c r="S422" s="36" t="s">
        <v>654</v>
      </c>
      <c r="T422" s="36"/>
      <c r="U422" s="36" t="s">
        <v>654</v>
      </c>
      <c r="V422" s="36"/>
      <c r="W422" s="36" t="s">
        <v>654</v>
      </c>
      <c r="X422" s="36"/>
      <c r="Y422" s="36" t="s">
        <v>654</v>
      </c>
      <c r="Z422" s="37"/>
      <c r="AA422" s="52"/>
      <c r="AB422" s="50"/>
      <c r="AC422" s="50"/>
      <c r="AD422" s="51"/>
      <c r="AE422" s="52"/>
      <c r="AF422" s="36"/>
    </row>
    <row r="423" spans="2:32" s="72" customFormat="1" ht="42.75" x14ac:dyDescent="0.3">
      <c r="B423" s="36"/>
      <c r="C423" s="36"/>
      <c r="D423" s="433"/>
      <c r="E423" s="33"/>
      <c r="F423" s="33"/>
      <c r="G423" s="33"/>
      <c r="H423" s="33"/>
      <c r="I423" s="33"/>
      <c r="J423" s="36"/>
      <c r="K423" s="374" t="s">
        <v>294</v>
      </c>
      <c r="L423" s="375" t="s">
        <v>291</v>
      </c>
      <c r="M423" s="362" t="s">
        <v>1443</v>
      </c>
      <c r="N423" s="41">
        <v>1</v>
      </c>
      <c r="O423" s="41">
        <v>1</v>
      </c>
      <c r="P423" s="50"/>
      <c r="Q423" s="41">
        <v>1</v>
      </c>
      <c r="R423" s="36"/>
      <c r="S423" s="41">
        <v>1</v>
      </c>
      <c r="T423" s="36"/>
      <c r="U423" s="41">
        <v>1</v>
      </c>
      <c r="V423" s="36"/>
      <c r="W423" s="41">
        <v>1</v>
      </c>
      <c r="X423" s="36"/>
      <c r="Y423" s="41">
        <v>1</v>
      </c>
      <c r="Z423" s="37"/>
      <c r="AA423" s="52"/>
      <c r="AB423" s="50"/>
      <c r="AC423" s="50"/>
      <c r="AD423" s="51"/>
      <c r="AE423" s="52"/>
      <c r="AF423" s="36"/>
    </row>
    <row r="424" spans="2:32" s="72" customFormat="1" x14ac:dyDescent="0.3">
      <c r="B424" s="36"/>
      <c r="C424" s="36"/>
      <c r="D424" s="433"/>
      <c r="E424" s="33"/>
      <c r="F424" s="33"/>
      <c r="G424" s="33"/>
      <c r="H424" s="33"/>
      <c r="I424" s="33"/>
      <c r="J424" s="36"/>
      <c r="K424" s="374" t="s">
        <v>295</v>
      </c>
      <c r="L424" s="375" t="s">
        <v>291</v>
      </c>
      <c r="M424" s="416" t="s">
        <v>1444</v>
      </c>
      <c r="N424" s="36"/>
      <c r="O424" s="36"/>
      <c r="P424" s="50"/>
      <c r="Q424" s="36"/>
      <c r="R424" s="36"/>
      <c r="S424" s="36"/>
      <c r="T424" s="36"/>
      <c r="U424" s="36"/>
      <c r="V424" s="36"/>
      <c r="W424" s="36"/>
      <c r="X424" s="36"/>
      <c r="Y424" s="36"/>
      <c r="Z424" s="37"/>
      <c r="AA424" s="52"/>
      <c r="AB424" s="50"/>
      <c r="AC424" s="50"/>
      <c r="AD424" s="51"/>
      <c r="AE424" s="52"/>
      <c r="AF424" s="36"/>
    </row>
    <row r="425" spans="2:32" s="72" customFormat="1" x14ac:dyDescent="0.3">
      <c r="B425" s="92"/>
      <c r="C425" s="92"/>
      <c r="D425" s="445"/>
      <c r="E425" s="91"/>
      <c r="F425" s="91"/>
      <c r="G425" s="91"/>
      <c r="H425" s="91"/>
      <c r="I425" s="91"/>
      <c r="J425" s="92"/>
      <c r="K425" s="377" t="s">
        <v>297</v>
      </c>
      <c r="L425" s="378" t="s">
        <v>291</v>
      </c>
      <c r="M425" s="385" t="s">
        <v>1445</v>
      </c>
      <c r="N425" s="92"/>
      <c r="O425" s="92"/>
      <c r="P425" s="93"/>
      <c r="Q425" s="92"/>
      <c r="R425" s="92"/>
      <c r="S425" s="92"/>
      <c r="T425" s="92"/>
      <c r="U425" s="92"/>
      <c r="V425" s="92"/>
      <c r="W425" s="92"/>
      <c r="X425" s="92"/>
      <c r="Y425" s="92"/>
      <c r="Z425" s="101"/>
      <c r="AA425" s="95"/>
      <c r="AB425" s="93"/>
      <c r="AC425" s="93"/>
      <c r="AD425" s="94"/>
      <c r="AE425" s="95"/>
      <c r="AF425" s="92"/>
    </row>
    <row r="426" spans="2:32" s="72" customFormat="1" x14ac:dyDescent="0.3">
      <c r="B426" s="36"/>
      <c r="C426" s="36"/>
      <c r="D426" s="433"/>
      <c r="E426" s="33"/>
      <c r="F426" s="33"/>
      <c r="G426" s="33"/>
      <c r="H426" s="33"/>
      <c r="I426" s="33"/>
      <c r="J426" s="36"/>
      <c r="K426" s="37"/>
      <c r="L426" s="46"/>
      <c r="M426" s="363"/>
      <c r="N426" s="36"/>
      <c r="O426" s="36"/>
      <c r="P426" s="50"/>
      <c r="Q426" s="36"/>
      <c r="R426" s="36"/>
      <c r="S426" s="36"/>
      <c r="T426" s="36"/>
      <c r="U426" s="36"/>
      <c r="V426" s="36"/>
      <c r="W426" s="36"/>
      <c r="X426" s="36"/>
      <c r="Y426" s="36"/>
      <c r="Z426" s="37"/>
      <c r="AA426" s="52"/>
      <c r="AB426" s="50"/>
      <c r="AC426" s="50"/>
      <c r="AD426" s="51"/>
      <c r="AE426" s="52"/>
      <c r="AF426" s="36"/>
    </row>
    <row r="427" spans="2:32" s="72" customFormat="1" ht="28.5" x14ac:dyDescent="0.3">
      <c r="B427" s="36"/>
      <c r="C427" s="36"/>
      <c r="D427" s="433"/>
      <c r="E427" s="33">
        <v>1</v>
      </c>
      <c r="F427" s="70" t="s">
        <v>131</v>
      </c>
      <c r="G427" s="70" t="s">
        <v>131</v>
      </c>
      <c r="H427" s="33">
        <v>16</v>
      </c>
      <c r="I427" s="34">
        <v>8</v>
      </c>
      <c r="J427" s="36" t="s">
        <v>162</v>
      </c>
      <c r="K427" s="374" t="s">
        <v>290</v>
      </c>
      <c r="L427" s="375" t="s">
        <v>291</v>
      </c>
      <c r="M427" s="375" t="s">
        <v>292</v>
      </c>
      <c r="N427" s="36" t="s">
        <v>301</v>
      </c>
      <c r="O427" s="36" t="s">
        <v>301</v>
      </c>
      <c r="P427" s="50">
        <v>22842500</v>
      </c>
      <c r="Q427" s="36" t="s">
        <v>301</v>
      </c>
      <c r="R427" s="431">
        <f>P427+(P427*10%)</f>
        <v>25126750</v>
      </c>
      <c r="S427" s="36" t="s">
        <v>301</v>
      </c>
      <c r="T427" s="431">
        <f>R427+(R427*10%)</f>
        <v>27639425</v>
      </c>
      <c r="U427" s="36" t="s">
        <v>301</v>
      </c>
      <c r="V427" s="431">
        <f>T427+(T427*10%)</f>
        <v>30403367.5</v>
      </c>
      <c r="W427" s="36" t="s">
        <v>301</v>
      </c>
      <c r="X427" s="431">
        <f>V427+(V427*10%)</f>
        <v>33443704.25</v>
      </c>
      <c r="Y427" s="36" t="s">
        <v>301</v>
      </c>
      <c r="Z427" s="431">
        <f>X427+V427+T427+R427+P427</f>
        <v>139455746.75</v>
      </c>
      <c r="AA427" s="52" t="s">
        <v>66</v>
      </c>
      <c r="AB427" s="50">
        <f>5*5000</f>
        <v>25000</v>
      </c>
      <c r="AC427" s="50">
        <f>AB427+(AB427*20%)</f>
        <v>30000</v>
      </c>
      <c r="AD427" s="51" t="e">
        <f>AD411</f>
        <v>#REF!</v>
      </c>
      <c r="AE427" s="52" t="s">
        <v>81</v>
      </c>
      <c r="AF427" s="36" t="s">
        <v>66</v>
      </c>
    </row>
    <row r="428" spans="2:32" s="72" customFormat="1" ht="42.75" x14ac:dyDescent="0.3">
      <c r="B428" s="36"/>
      <c r="C428" s="36"/>
      <c r="D428" s="433"/>
      <c r="E428" s="33"/>
      <c r="F428" s="33"/>
      <c r="G428" s="33"/>
      <c r="H428" s="33"/>
      <c r="I428" s="33"/>
      <c r="J428" s="36"/>
      <c r="K428" s="374" t="s">
        <v>293</v>
      </c>
      <c r="L428" s="375" t="s">
        <v>291</v>
      </c>
      <c r="M428" s="363" t="s">
        <v>1271</v>
      </c>
      <c r="N428" s="36" t="s">
        <v>1136</v>
      </c>
      <c r="O428" s="36" t="s">
        <v>1136</v>
      </c>
      <c r="P428" s="50"/>
      <c r="Q428" s="36" t="s">
        <v>1136</v>
      </c>
      <c r="R428" s="36"/>
      <c r="S428" s="36" t="s">
        <v>1136</v>
      </c>
      <c r="T428" s="36"/>
      <c r="U428" s="36" t="s">
        <v>1136</v>
      </c>
      <c r="V428" s="36"/>
      <c r="W428" s="36" t="s">
        <v>1136</v>
      </c>
      <c r="X428" s="36"/>
      <c r="Y428" s="36" t="s">
        <v>1136</v>
      </c>
      <c r="Z428" s="37"/>
      <c r="AA428" s="52"/>
      <c r="AB428" s="50"/>
      <c r="AC428" s="50"/>
      <c r="AD428" s="51"/>
      <c r="AE428" s="52"/>
      <c r="AF428" s="36"/>
    </row>
    <row r="429" spans="2:32" s="72" customFormat="1" ht="28.5" x14ac:dyDescent="0.3">
      <c r="B429" s="36"/>
      <c r="C429" s="36"/>
      <c r="D429" s="433"/>
      <c r="E429" s="33"/>
      <c r="F429" s="33"/>
      <c r="G429" s="33"/>
      <c r="H429" s="33"/>
      <c r="I429" s="33"/>
      <c r="J429" s="36"/>
      <c r="K429" s="37"/>
      <c r="L429" s="375" t="s">
        <v>291</v>
      </c>
      <c r="M429" s="363" t="s">
        <v>1272</v>
      </c>
      <c r="N429" s="36" t="s">
        <v>654</v>
      </c>
      <c r="O429" s="36" t="s">
        <v>654</v>
      </c>
      <c r="P429" s="50"/>
      <c r="Q429" s="36" t="s">
        <v>654</v>
      </c>
      <c r="R429" s="36"/>
      <c r="S429" s="36" t="s">
        <v>654</v>
      </c>
      <c r="T429" s="36"/>
      <c r="U429" s="36" t="s">
        <v>654</v>
      </c>
      <c r="V429" s="36"/>
      <c r="W429" s="36" t="s">
        <v>654</v>
      </c>
      <c r="X429" s="36"/>
      <c r="Y429" s="36" t="s">
        <v>654</v>
      </c>
      <c r="Z429" s="37"/>
      <c r="AA429" s="52"/>
      <c r="AB429" s="50">
        <f>10000*80</f>
        <v>800000</v>
      </c>
      <c r="AC429" s="50">
        <f>AB429+(AB429*10%)</f>
        <v>880000</v>
      </c>
      <c r="AD429" s="51" t="str">
        <f>AD397</f>
        <v>Dinas Dikpora</v>
      </c>
      <c r="AE429" s="52" t="str">
        <f>AE397</f>
        <v>Sedang Berjalan</v>
      </c>
      <c r="AF429" s="36"/>
    </row>
    <row r="430" spans="2:32" s="72" customFormat="1" x14ac:dyDescent="0.3">
      <c r="B430" s="36"/>
      <c r="C430" s="36"/>
      <c r="D430" s="433"/>
      <c r="E430" s="33"/>
      <c r="F430" s="33"/>
      <c r="G430" s="33"/>
      <c r="H430" s="33"/>
      <c r="I430" s="33"/>
      <c r="J430" s="36"/>
      <c r="K430" s="374" t="s">
        <v>294</v>
      </c>
      <c r="L430" s="375" t="s">
        <v>291</v>
      </c>
      <c r="M430" s="362" t="s">
        <v>1446</v>
      </c>
      <c r="N430" s="41">
        <v>1</v>
      </c>
      <c r="O430" s="41">
        <v>1</v>
      </c>
      <c r="P430" s="50"/>
      <c r="Q430" s="41">
        <v>1</v>
      </c>
      <c r="R430" s="36"/>
      <c r="S430" s="41">
        <v>1</v>
      </c>
      <c r="T430" s="36"/>
      <c r="U430" s="41">
        <v>1</v>
      </c>
      <c r="V430" s="36"/>
      <c r="W430" s="41">
        <v>1</v>
      </c>
      <c r="X430" s="36"/>
      <c r="Y430" s="41">
        <v>1</v>
      </c>
      <c r="Z430" s="37"/>
      <c r="AA430" s="52"/>
      <c r="AB430" s="50"/>
      <c r="AC430" s="50"/>
      <c r="AD430" s="51"/>
      <c r="AE430" s="52"/>
      <c r="AF430" s="36"/>
    </row>
    <row r="431" spans="2:32" s="72" customFormat="1" ht="99.75" x14ac:dyDescent="0.3">
      <c r="B431" s="36"/>
      <c r="C431" s="36"/>
      <c r="D431" s="433"/>
      <c r="E431" s="33"/>
      <c r="F431" s="33"/>
      <c r="G431" s="33"/>
      <c r="H431" s="33"/>
      <c r="I431" s="33"/>
      <c r="J431" s="36"/>
      <c r="K431" s="374"/>
      <c r="L431" s="375" t="s">
        <v>291</v>
      </c>
      <c r="M431" s="362" t="s">
        <v>677</v>
      </c>
      <c r="N431" s="36" t="str">
        <f>L431</f>
        <v>:</v>
      </c>
      <c r="O431" s="36" t="str">
        <f>M431</f>
        <v>Terpilihnya peserta lomba kreativitas guru dan anak TK Tingkat Gunungkidul dalam 10 cabang lomba</v>
      </c>
      <c r="P431" s="50"/>
      <c r="Q431" s="36" t="str">
        <f>O431</f>
        <v>Terpilihnya peserta lomba kreativitas guru dan anak TK Tingkat Gunungkidul dalam 10 cabang lomba</v>
      </c>
      <c r="R431" s="36"/>
      <c r="S431" s="36" t="str">
        <f>Q431</f>
        <v>Terpilihnya peserta lomba kreativitas guru dan anak TK Tingkat Gunungkidul dalam 10 cabang lomba</v>
      </c>
      <c r="T431" s="36"/>
      <c r="U431" s="36" t="str">
        <f>S431</f>
        <v>Terpilihnya peserta lomba kreativitas guru dan anak TK Tingkat Gunungkidul dalam 10 cabang lomba</v>
      </c>
      <c r="V431" s="36"/>
      <c r="W431" s="36" t="str">
        <f>U431</f>
        <v>Terpilihnya peserta lomba kreativitas guru dan anak TK Tingkat Gunungkidul dalam 10 cabang lomba</v>
      </c>
      <c r="X431" s="36"/>
      <c r="Y431" s="36" t="str">
        <f>W431</f>
        <v>Terpilihnya peserta lomba kreativitas guru dan anak TK Tingkat Gunungkidul dalam 10 cabang lomba</v>
      </c>
      <c r="Z431" s="37"/>
      <c r="AA431" s="52"/>
      <c r="AB431" s="50"/>
      <c r="AC431" s="50"/>
      <c r="AD431" s="51"/>
      <c r="AE431" s="52"/>
      <c r="AF431" s="36"/>
    </row>
    <row r="432" spans="2:32" s="72" customFormat="1" x14ac:dyDescent="0.3">
      <c r="B432" s="36"/>
      <c r="C432" s="36"/>
      <c r="D432" s="433"/>
      <c r="E432" s="33"/>
      <c r="F432" s="33"/>
      <c r="G432" s="33"/>
      <c r="H432" s="33"/>
      <c r="I432" s="33"/>
      <c r="J432" s="36"/>
      <c r="K432" s="374" t="s">
        <v>295</v>
      </c>
      <c r="L432" s="375" t="s">
        <v>291</v>
      </c>
      <c r="M432" s="384" t="s">
        <v>1447</v>
      </c>
      <c r="N432" s="36"/>
      <c r="O432" s="36"/>
      <c r="P432" s="50"/>
      <c r="Q432" s="36"/>
      <c r="R432" s="36"/>
      <c r="S432" s="36"/>
      <c r="T432" s="36"/>
      <c r="U432" s="36"/>
      <c r="V432" s="36"/>
      <c r="W432" s="36"/>
      <c r="X432" s="36"/>
      <c r="Y432" s="36"/>
      <c r="Z432" s="37"/>
      <c r="AA432" s="52"/>
      <c r="AB432" s="50"/>
      <c r="AC432" s="50"/>
      <c r="AD432" s="51"/>
      <c r="AE432" s="52"/>
      <c r="AF432" s="36"/>
    </row>
    <row r="433" spans="2:32" s="72" customFormat="1" ht="28.5" x14ac:dyDescent="0.3">
      <c r="B433" s="92"/>
      <c r="C433" s="92"/>
      <c r="D433" s="445"/>
      <c r="E433" s="91"/>
      <c r="F433" s="91"/>
      <c r="G433" s="91"/>
      <c r="H433" s="91"/>
      <c r="I433" s="91"/>
      <c r="J433" s="92"/>
      <c r="K433" s="377" t="s">
        <v>297</v>
      </c>
      <c r="L433" s="378" t="s">
        <v>291</v>
      </c>
      <c r="M433" s="459" t="s">
        <v>1448</v>
      </c>
      <c r="N433" s="92"/>
      <c r="O433" s="92"/>
      <c r="P433" s="93"/>
      <c r="Q433" s="92"/>
      <c r="R433" s="92"/>
      <c r="S433" s="92"/>
      <c r="T433" s="92"/>
      <c r="U433" s="92"/>
      <c r="V433" s="92"/>
      <c r="W433" s="92"/>
      <c r="X433" s="92"/>
      <c r="Y433" s="92"/>
      <c r="Z433" s="101"/>
      <c r="AA433" s="95"/>
      <c r="AB433" s="93"/>
      <c r="AC433" s="93"/>
      <c r="AD433" s="94"/>
      <c r="AE433" s="95"/>
      <c r="AF433" s="92"/>
    </row>
    <row r="434" spans="2:32" s="72" customFormat="1" x14ac:dyDescent="0.3">
      <c r="B434" s="36"/>
      <c r="C434" s="36"/>
      <c r="D434" s="433"/>
      <c r="E434" s="33"/>
      <c r="F434" s="33"/>
      <c r="G434" s="33"/>
      <c r="H434" s="33"/>
      <c r="I434" s="33"/>
      <c r="J434" s="36"/>
      <c r="K434" s="37"/>
      <c r="L434" s="375"/>
      <c r="M434" s="363"/>
      <c r="N434" s="36"/>
      <c r="O434" s="36"/>
      <c r="P434" s="50"/>
      <c r="Q434" s="36"/>
      <c r="R434" s="36"/>
      <c r="S434" s="36"/>
      <c r="T434" s="36"/>
      <c r="U434" s="36"/>
      <c r="V434" s="36"/>
      <c r="W434" s="36"/>
      <c r="X434" s="36"/>
      <c r="Y434" s="36"/>
      <c r="Z434" s="37"/>
      <c r="AA434" s="52"/>
      <c r="AB434" s="50"/>
      <c r="AC434" s="50"/>
      <c r="AD434" s="51"/>
      <c r="AE434" s="52"/>
      <c r="AF434" s="36"/>
    </row>
    <row r="435" spans="2:32" s="72" customFormat="1" x14ac:dyDescent="0.3">
      <c r="B435" s="36"/>
      <c r="C435" s="36"/>
      <c r="D435" s="433"/>
      <c r="E435" s="33">
        <v>1</v>
      </c>
      <c r="F435" s="70" t="s">
        <v>131</v>
      </c>
      <c r="G435" s="70" t="s">
        <v>131</v>
      </c>
      <c r="H435" s="33">
        <v>16</v>
      </c>
      <c r="I435" s="33">
        <v>10</v>
      </c>
      <c r="J435" s="36" t="s">
        <v>163</v>
      </c>
      <c r="K435" s="374" t="s">
        <v>290</v>
      </c>
      <c r="L435" s="375" t="s">
        <v>291</v>
      </c>
      <c r="M435" s="375" t="s">
        <v>292</v>
      </c>
      <c r="N435" s="36" t="s">
        <v>301</v>
      </c>
      <c r="O435" s="36" t="s">
        <v>301</v>
      </c>
      <c r="P435" s="50">
        <v>36087500</v>
      </c>
      <c r="Q435" s="36" t="s">
        <v>301</v>
      </c>
      <c r="R435" s="431">
        <f>P435+(P435*10%)</f>
        <v>39696250</v>
      </c>
      <c r="S435" s="36" t="s">
        <v>301</v>
      </c>
      <c r="T435" s="431">
        <f>R435+(R435*10%)</f>
        <v>43665875</v>
      </c>
      <c r="U435" s="36" t="s">
        <v>301</v>
      </c>
      <c r="V435" s="431">
        <f>T435+(T435*10%)</f>
        <v>48032462.5</v>
      </c>
      <c r="W435" s="36" t="s">
        <v>301</v>
      </c>
      <c r="X435" s="431">
        <f>V435+(V435*10%)</f>
        <v>52835708.75</v>
      </c>
      <c r="Y435" s="36" t="s">
        <v>301</v>
      </c>
      <c r="Z435" s="431">
        <f>X435+V435+T435+R435+P435</f>
        <v>220317796.25</v>
      </c>
      <c r="AA435" s="52" t="s">
        <v>66</v>
      </c>
      <c r="AB435" s="50"/>
      <c r="AC435" s="50"/>
      <c r="AD435" s="51"/>
      <c r="AE435" s="52"/>
      <c r="AF435" s="36" t="s">
        <v>164</v>
      </c>
    </row>
    <row r="436" spans="2:32" s="72" customFormat="1" ht="42.75" x14ac:dyDescent="0.3">
      <c r="B436" s="36"/>
      <c r="C436" s="36"/>
      <c r="D436" s="433"/>
      <c r="E436" s="33"/>
      <c r="F436" s="33"/>
      <c r="G436" s="33"/>
      <c r="H436" s="33"/>
      <c r="I436" s="33"/>
      <c r="J436" s="36"/>
      <c r="K436" s="374" t="s">
        <v>293</v>
      </c>
      <c r="L436" s="375" t="s">
        <v>291</v>
      </c>
      <c r="M436" s="362" t="s">
        <v>836</v>
      </c>
      <c r="N436" s="36" t="s">
        <v>1137</v>
      </c>
      <c r="O436" s="36" t="s">
        <v>1137</v>
      </c>
      <c r="P436" s="50"/>
      <c r="Q436" s="36" t="s">
        <v>1137</v>
      </c>
      <c r="R436" s="36"/>
      <c r="S436" s="36" t="s">
        <v>1137</v>
      </c>
      <c r="T436" s="36"/>
      <c r="U436" s="36" t="s">
        <v>1137</v>
      </c>
      <c r="V436" s="36"/>
      <c r="W436" s="36" t="s">
        <v>1137</v>
      </c>
      <c r="X436" s="36"/>
      <c r="Y436" s="36" t="s">
        <v>1137</v>
      </c>
      <c r="Z436" s="37"/>
      <c r="AA436" s="52"/>
      <c r="AB436" s="84">
        <v>188424</v>
      </c>
      <c r="AC436" s="50">
        <f>AB436+(AB436*20%)</f>
        <v>226108.79999999999</v>
      </c>
      <c r="AD436" s="51" t="s">
        <v>66</v>
      </c>
      <c r="AE436" s="52" t="s">
        <v>67</v>
      </c>
      <c r="AF436" s="36"/>
    </row>
    <row r="437" spans="2:32" s="72" customFormat="1" ht="28.5" x14ac:dyDescent="0.3">
      <c r="B437" s="36"/>
      <c r="C437" s="36"/>
      <c r="D437" s="433"/>
      <c r="E437" s="33"/>
      <c r="F437" s="33"/>
      <c r="G437" s="33"/>
      <c r="H437" s="33"/>
      <c r="I437" s="33"/>
      <c r="J437" s="36"/>
      <c r="K437" s="374" t="s">
        <v>294</v>
      </c>
      <c r="L437" s="375" t="s">
        <v>291</v>
      </c>
      <c r="M437" s="362" t="s">
        <v>1449</v>
      </c>
      <c r="N437" s="41">
        <v>1</v>
      </c>
      <c r="O437" s="41">
        <v>1</v>
      </c>
      <c r="P437" s="50"/>
      <c r="Q437" s="41">
        <v>1</v>
      </c>
      <c r="R437" s="36"/>
      <c r="S437" s="41">
        <v>1</v>
      </c>
      <c r="T437" s="36"/>
      <c r="U437" s="41">
        <v>1</v>
      </c>
      <c r="V437" s="36"/>
      <c r="W437" s="41">
        <v>1</v>
      </c>
      <c r="X437" s="36"/>
      <c r="Y437" s="41">
        <v>1</v>
      </c>
      <c r="Z437" s="37"/>
      <c r="AA437" s="52"/>
      <c r="AB437" s="84"/>
      <c r="AC437" s="50"/>
      <c r="AD437" s="51"/>
      <c r="AE437" s="52"/>
      <c r="AF437" s="36"/>
    </row>
    <row r="438" spans="2:32" s="72" customFormat="1" ht="28.5" x14ac:dyDescent="0.3">
      <c r="B438" s="36"/>
      <c r="C438" s="36"/>
      <c r="D438" s="433"/>
      <c r="E438" s="33"/>
      <c r="F438" s="33"/>
      <c r="G438" s="33"/>
      <c r="H438" s="33"/>
      <c r="I438" s="33"/>
      <c r="J438" s="36"/>
      <c r="K438" s="374" t="s">
        <v>295</v>
      </c>
      <c r="L438" s="375" t="s">
        <v>291</v>
      </c>
      <c r="M438" s="460" t="s">
        <v>1450</v>
      </c>
      <c r="N438" s="36"/>
      <c r="O438" s="36"/>
      <c r="P438" s="50"/>
      <c r="Q438" s="36"/>
      <c r="R438" s="36"/>
      <c r="S438" s="36"/>
      <c r="T438" s="36"/>
      <c r="U438" s="36"/>
      <c r="V438" s="36"/>
      <c r="W438" s="36"/>
      <c r="X438" s="36"/>
      <c r="Y438" s="36"/>
      <c r="Z438" s="37"/>
      <c r="AA438" s="52"/>
      <c r="AB438" s="84"/>
      <c r="AC438" s="50"/>
      <c r="AD438" s="51"/>
      <c r="AE438" s="52"/>
      <c r="AF438" s="36"/>
    </row>
    <row r="439" spans="2:32" s="72" customFormat="1" x14ac:dyDescent="0.3">
      <c r="B439" s="92"/>
      <c r="C439" s="92"/>
      <c r="D439" s="445"/>
      <c r="E439" s="91"/>
      <c r="F439" s="91"/>
      <c r="G439" s="91"/>
      <c r="H439" s="91"/>
      <c r="I439" s="91"/>
      <c r="J439" s="92"/>
      <c r="K439" s="377" t="s">
        <v>297</v>
      </c>
      <c r="L439" s="378" t="s">
        <v>291</v>
      </c>
      <c r="M439" s="385" t="s">
        <v>861</v>
      </c>
      <c r="N439" s="92"/>
      <c r="O439" s="92"/>
      <c r="P439" s="93"/>
      <c r="Q439" s="92"/>
      <c r="R439" s="92"/>
      <c r="S439" s="92"/>
      <c r="T439" s="92"/>
      <c r="U439" s="92"/>
      <c r="V439" s="92"/>
      <c r="W439" s="92"/>
      <c r="X439" s="92"/>
      <c r="Y439" s="92"/>
      <c r="Z439" s="101"/>
      <c r="AA439" s="95"/>
      <c r="AB439" s="414"/>
      <c r="AC439" s="93"/>
      <c r="AD439" s="94"/>
      <c r="AE439" s="95"/>
      <c r="AF439" s="92"/>
    </row>
    <row r="440" spans="2:32" s="72" customFormat="1" x14ac:dyDescent="0.3">
      <c r="B440" s="36"/>
      <c r="C440" s="36"/>
      <c r="D440" s="433"/>
      <c r="E440" s="33"/>
      <c r="F440" s="33"/>
      <c r="G440" s="33"/>
      <c r="H440" s="33"/>
      <c r="I440" s="33"/>
      <c r="J440" s="36"/>
      <c r="K440" s="374"/>
      <c r="L440" s="375"/>
      <c r="M440" s="362"/>
      <c r="N440" s="36"/>
      <c r="O440" s="36"/>
      <c r="P440" s="50"/>
      <c r="Q440" s="36"/>
      <c r="R440" s="36"/>
      <c r="S440" s="36"/>
      <c r="T440" s="36"/>
      <c r="U440" s="36"/>
      <c r="V440" s="36"/>
      <c r="W440" s="36"/>
      <c r="X440" s="36"/>
      <c r="Y440" s="36"/>
      <c r="Z440" s="37"/>
      <c r="AA440" s="52"/>
      <c r="AB440" s="84"/>
      <c r="AC440" s="50"/>
      <c r="AD440" s="51"/>
      <c r="AE440" s="52"/>
      <c r="AF440" s="36"/>
    </row>
    <row r="441" spans="2:32" s="72" customFormat="1" ht="28.5" x14ac:dyDescent="0.3">
      <c r="B441" s="36"/>
      <c r="C441" s="36"/>
      <c r="D441" s="433"/>
      <c r="E441" s="33">
        <v>1</v>
      </c>
      <c r="F441" s="70" t="s">
        <v>131</v>
      </c>
      <c r="G441" s="70" t="s">
        <v>131</v>
      </c>
      <c r="H441" s="33">
        <v>16</v>
      </c>
      <c r="I441" s="33">
        <v>11</v>
      </c>
      <c r="J441" s="36" t="s">
        <v>1074</v>
      </c>
      <c r="K441" s="374" t="s">
        <v>290</v>
      </c>
      <c r="L441" s="375" t="s">
        <v>291</v>
      </c>
      <c r="M441" s="375" t="s">
        <v>292</v>
      </c>
      <c r="N441" s="36" t="s">
        <v>301</v>
      </c>
      <c r="O441" s="36" t="s">
        <v>301</v>
      </c>
      <c r="P441" s="50">
        <v>160190000</v>
      </c>
      <c r="Q441" s="36" t="s">
        <v>301</v>
      </c>
      <c r="R441" s="431">
        <f>P441+(P441*10%)</f>
        <v>176209000</v>
      </c>
      <c r="S441" s="36" t="s">
        <v>301</v>
      </c>
      <c r="T441" s="431">
        <f>R441+(R441*10%)</f>
        <v>193829900</v>
      </c>
      <c r="U441" s="36" t="s">
        <v>301</v>
      </c>
      <c r="V441" s="431">
        <f>T441+(T441*10%)</f>
        <v>213212890</v>
      </c>
      <c r="W441" s="36" t="s">
        <v>301</v>
      </c>
      <c r="X441" s="431">
        <f>V441+(V441*10%)</f>
        <v>234534179</v>
      </c>
      <c r="Y441" s="36" t="s">
        <v>301</v>
      </c>
      <c r="Z441" s="431">
        <f>X441+V441+T441+R441+P441</f>
        <v>977975969</v>
      </c>
      <c r="AA441" s="52" t="s">
        <v>84</v>
      </c>
      <c r="AB441" s="50"/>
      <c r="AC441" s="50"/>
      <c r="AD441" s="51"/>
      <c r="AE441" s="52"/>
      <c r="AF441" s="36" t="s">
        <v>66</v>
      </c>
    </row>
    <row r="442" spans="2:32" s="72" customFormat="1" ht="28.5" x14ac:dyDescent="0.3">
      <c r="B442" s="36"/>
      <c r="C442" s="36"/>
      <c r="D442" s="433"/>
      <c r="E442" s="33"/>
      <c r="F442" s="33"/>
      <c r="G442" s="33"/>
      <c r="H442" s="33"/>
      <c r="I442" s="33"/>
      <c r="J442" s="36"/>
      <c r="K442" s="374" t="s">
        <v>293</v>
      </c>
      <c r="L442" s="375" t="s">
        <v>291</v>
      </c>
      <c r="M442" s="363" t="s">
        <v>1273</v>
      </c>
      <c r="N442" s="36" t="s">
        <v>693</v>
      </c>
      <c r="O442" s="36" t="s">
        <v>693</v>
      </c>
      <c r="P442" s="85"/>
      <c r="Q442" s="36" t="s">
        <v>693</v>
      </c>
      <c r="R442" s="36"/>
      <c r="S442" s="36" t="s">
        <v>693</v>
      </c>
      <c r="T442" s="36"/>
      <c r="U442" s="36" t="s">
        <v>693</v>
      </c>
      <c r="V442" s="36"/>
      <c r="W442" s="36" t="s">
        <v>693</v>
      </c>
      <c r="X442" s="36"/>
      <c r="Y442" s="36" t="s">
        <v>693</v>
      </c>
      <c r="Z442" s="37"/>
      <c r="AA442" s="52"/>
      <c r="AB442" s="50"/>
      <c r="AC442" s="50">
        <f>AB442+(AB442*20%)</f>
        <v>0</v>
      </c>
      <c r="AD442" s="51"/>
      <c r="AE442" s="52"/>
      <c r="AF442" s="36"/>
    </row>
    <row r="443" spans="2:32" s="76" customFormat="1" ht="57" x14ac:dyDescent="0.3">
      <c r="B443" s="36"/>
      <c r="C443" s="36"/>
      <c r="D443" s="433"/>
      <c r="E443" s="33"/>
      <c r="F443" s="33"/>
      <c r="G443" s="33"/>
      <c r="H443" s="33"/>
      <c r="I443" s="33"/>
      <c r="J443" s="36"/>
      <c r="K443" s="37"/>
      <c r="L443" s="375" t="s">
        <v>291</v>
      </c>
      <c r="M443" s="363" t="s">
        <v>1274</v>
      </c>
      <c r="N443" s="36" t="s">
        <v>1138</v>
      </c>
      <c r="O443" s="36" t="s">
        <v>1138</v>
      </c>
      <c r="P443" s="50"/>
      <c r="Q443" s="36" t="s">
        <v>1138</v>
      </c>
      <c r="R443" s="36"/>
      <c r="S443" s="36" t="s">
        <v>1138</v>
      </c>
      <c r="T443" s="36"/>
      <c r="U443" s="36" t="s">
        <v>1138</v>
      </c>
      <c r="V443" s="36"/>
      <c r="W443" s="36" t="s">
        <v>1138</v>
      </c>
      <c r="X443" s="36"/>
      <c r="Y443" s="36" t="s">
        <v>1138</v>
      </c>
      <c r="Z443" s="37"/>
      <c r="AA443" s="52" t="s">
        <v>84</v>
      </c>
      <c r="AB443" s="50">
        <v>104825</v>
      </c>
      <c r="AC443" s="50">
        <f>AB443+(AB443*20%)</f>
        <v>125790</v>
      </c>
      <c r="AD443" s="51" t="s">
        <v>66</v>
      </c>
      <c r="AE443" s="52" t="s">
        <v>81</v>
      </c>
      <c r="AF443" s="36"/>
    </row>
    <row r="444" spans="2:32" s="76" customFormat="1" ht="42.75" x14ac:dyDescent="0.3">
      <c r="B444" s="36"/>
      <c r="C444" s="36"/>
      <c r="D444" s="433"/>
      <c r="E444" s="33"/>
      <c r="F444" s="33"/>
      <c r="G444" s="33"/>
      <c r="H444" s="33"/>
      <c r="I444" s="33"/>
      <c r="J444" s="36"/>
      <c r="K444" s="37"/>
      <c r="L444" s="375" t="s">
        <v>291</v>
      </c>
      <c r="M444" s="363" t="s">
        <v>1275</v>
      </c>
      <c r="N444" s="36" t="s">
        <v>1139</v>
      </c>
      <c r="O444" s="36" t="s">
        <v>1139</v>
      </c>
      <c r="P444" s="50"/>
      <c r="Q444" s="36" t="s">
        <v>1139</v>
      </c>
      <c r="R444" s="36"/>
      <c r="S444" s="36" t="s">
        <v>1139</v>
      </c>
      <c r="T444" s="36"/>
      <c r="U444" s="36" t="s">
        <v>1139</v>
      </c>
      <c r="V444" s="36"/>
      <c r="W444" s="36" t="s">
        <v>1139</v>
      </c>
      <c r="X444" s="36"/>
      <c r="Y444" s="36" t="s">
        <v>1139</v>
      </c>
      <c r="Z444" s="37"/>
      <c r="AA444" s="52" t="s">
        <v>66</v>
      </c>
      <c r="AB444" s="50"/>
      <c r="AC444" s="50"/>
      <c r="AD444" s="51"/>
      <c r="AE444" s="52"/>
      <c r="AF444" s="36" t="s">
        <v>75</v>
      </c>
    </row>
    <row r="445" spans="2:32" ht="57" x14ac:dyDescent="0.3">
      <c r="B445" s="36"/>
      <c r="C445" s="36"/>
      <c r="E445" s="33"/>
      <c r="F445" s="33"/>
      <c r="G445" s="33"/>
      <c r="H445" s="33"/>
      <c r="I445" s="33"/>
      <c r="J445" s="36"/>
      <c r="K445" s="37"/>
      <c r="L445" s="375" t="s">
        <v>291</v>
      </c>
      <c r="M445" s="363" t="s">
        <v>446</v>
      </c>
      <c r="N445" s="36" t="s">
        <v>447</v>
      </c>
      <c r="O445" s="36" t="s">
        <v>447</v>
      </c>
      <c r="P445" s="50"/>
      <c r="Q445" s="36" t="s">
        <v>447</v>
      </c>
      <c r="R445" s="36"/>
      <c r="S445" s="36" t="s">
        <v>447</v>
      </c>
      <c r="T445" s="36"/>
      <c r="U445" s="36" t="s">
        <v>447</v>
      </c>
      <c r="V445" s="36"/>
      <c r="W445" s="36" t="s">
        <v>447</v>
      </c>
      <c r="X445" s="36"/>
      <c r="Y445" s="36" t="s">
        <v>447</v>
      </c>
      <c r="Z445" s="37"/>
      <c r="AA445" s="52" t="s">
        <v>66</v>
      </c>
      <c r="AB445" s="50"/>
      <c r="AC445" s="50"/>
      <c r="AD445" s="51"/>
      <c r="AE445" s="52"/>
      <c r="AF445" s="36" t="s">
        <v>165</v>
      </c>
    </row>
    <row r="446" spans="2:32" s="73" customFormat="1" ht="28.5" x14ac:dyDescent="0.3">
      <c r="B446" s="36"/>
      <c r="C446" s="36"/>
      <c r="D446" s="14"/>
      <c r="E446" s="33"/>
      <c r="F446" s="33"/>
      <c r="G446" s="33"/>
      <c r="H446" s="33"/>
      <c r="I446" s="33"/>
      <c r="J446" s="36"/>
      <c r="K446" s="37"/>
      <c r="L446" s="375" t="s">
        <v>291</v>
      </c>
      <c r="M446" s="363" t="s">
        <v>694</v>
      </c>
      <c r="N446" s="36" t="s">
        <v>695</v>
      </c>
      <c r="O446" s="36" t="s">
        <v>695</v>
      </c>
      <c r="P446" s="50"/>
      <c r="Q446" s="36" t="s">
        <v>695</v>
      </c>
      <c r="R446" s="36"/>
      <c r="S446" s="36" t="s">
        <v>695</v>
      </c>
      <c r="T446" s="36"/>
      <c r="U446" s="36" t="s">
        <v>695</v>
      </c>
      <c r="V446" s="36"/>
      <c r="W446" s="36" t="s">
        <v>695</v>
      </c>
      <c r="X446" s="36"/>
      <c r="Y446" s="36" t="s">
        <v>695</v>
      </c>
      <c r="Z446" s="37"/>
      <c r="AA446" s="52"/>
      <c r="AB446" s="50">
        <v>54333</v>
      </c>
      <c r="AC446" s="50">
        <f>AB446+(AB446*20%)</f>
        <v>65199.6</v>
      </c>
      <c r="AD446" s="51" t="str">
        <f>AD443</f>
        <v>Dinas Dikpora</v>
      </c>
      <c r="AE446" s="52" t="s">
        <v>81</v>
      </c>
      <c r="AF446" s="36"/>
    </row>
    <row r="447" spans="2:32" s="73" customFormat="1" ht="28.5" x14ac:dyDescent="0.3">
      <c r="B447" s="36"/>
      <c r="C447" s="36"/>
      <c r="D447" s="14"/>
      <c r="E447" s="33"/>
      <c r="F447" s="33"/>
      <c r="G447" s="33"/>
      <c r="H447" s="33"/>
      <c r="I447" s="33"/>
      <c r="J447" s="36"/>
      <c r="K447" s="374" t="s">
        <v>294</v>
      </c>
      <c r="L447" s="375" t="s">
        <v>291</v>
      </c>
      <c r="M447" s="362" t="s">
        <v>1451</v>
      </c>
      <c r="N447" s="41">
        <v>1</v>
      </c>
      <c r="O447" s="41">
        <v>1</v>
      </c>
      <c r="P447" s="50"/>
      <c r="Q447" s="41">
        <v>1</v>
      </c>
      <c r="R447" s="36"/>
      <c r="S447" s="41">
        <v>1</v>
      </c>
      <c r="T447" s="36"/>
      <c r="U447" s="41">
        <v>1</v>
      </c>
      <c r="V447" s="36"/>
      <c r="W447" s="41">
        <v>1</v>
      </c>
      <c r="X447" s="36"/>
      <c r="Y447" s="41">
        <v>1</v>
      </c>
      <c r="Z447" s="37"/>
      <c r="AA447" s="52"/>
      <c r="AB447" s="50"/>
      <c r="AC447" s="50"/>
      <c r="AD447" s="51"/>
      <c r="AE447" s="52"/>
      <c r="AF447" s="36"/>
    </row>
    <row r="448" spans="2:32" s="73" customFormat="1" x14ac:dyDescent="0.3">
      <c r="B448" s="36"/>
      <c r="C448" s="36"/>
      <c r="D448" s="14"/>
      <c r="E448" s="33"/>
      <c r="F448" s="33"/>
      <c r="G448" s="33"/>
      <c r="H448" s="33"/>
      <c r="I448" s="33"/>
      <c r="J448" s="36"/>
      <c r="K448" s="374" t="s">
        <v>295</v>
      </c>
      <c r="L448" s="375" t="s">
        <v>291</v>
      </c>
      <c r="M448" s="384" t="s">
        <v>1452</v>
      </c>
      <c r="N448" s="36"/>
      <c r="O448" s="36"/>
      <c r="P448" s="50"/>
      <c r="Q448" s="36"/>
      <c r="R448" s="36"/>
      <c r="S448" s="36"/>
      <c r="T448" s="36"/>
      <c r="U448" s="36"/>
      <c r="V448" s="36"/>
      <c r="W448" s="36"/>
      <c r="X448" s="36"/>
      <c r="Y448" s="36"/>
      <c r="Z448" s="37"/>
      <c r="AA448" s="52"/>
      <c r="AB448" s="50"/>
      <c r="AC448" s="50"/>
      <c r="AD448" s="51"/>
      <c r="AE448" s="52"/>
      <c r="AF448" s="36"/>
    </row>
    <row r="449" spans="2:32" s="73" customFormat="1" ht="28.5" x14ac:dyDescent="0.3">
      <c r="B449" s="92"/>
      <c r="C449" s="92"/>
      <c r="D449" s="448"/>
      <c r="E449" s="91"/>
      <c r="F449" s="91"/>
      <c r="G449" s="91"/>
      <c r="H449" s="91"/>
      <c r="I449" s="91"/>
      <c r="J449" s="92"/>
      <c r="K449" s="377" t="s">
        <v>297</v>
      </c>
      <c r="L449" s="378" t="s">
        <v>291</v>
      </c>
      <c r="M449" s="459" t="s">
        <v>1453</v>
      </c>
      <c r="N449" s="92"/>
      <c r="O449" s="92"/>
      <c r="P449" s="93"/>
      <c r="Q449" s="92"/>
      <c r="R449" s="92"/>
      <c r="S449" s="92"/>
      <c r="T449" s="92"/>
      <c r="U449" s="92"/>
      <c r="V449" s="92"/>
      <c r="W449" s="92"/>
      <c r="X449" s="92"/>
      <c r="Y449" s="92"/>
      <c r="Z449" s="101"/>
      <c r="AA449" s="95"/>
      <c r="AB449" s="93"/>
      <c r="AC449" s="93"/>
      <c r="AD449" s="94"/>
      <c r="AE449" s="95"/>
      <c r="AF449" s="92"/>
    </row>
    <row r="450" spans="2:32" s="73" customFormat="1" x14ac:dyDescent="0.3">
      <c r="B450" s="36"/>
      <c r="C450" s="36"/>
      <c r="D450" s="14"/>
      <c r="E450" s="33"/>
      <c r="F450" s="33"/>
      <c r="G450" s="33"/>
      <c r="H450" s="33"/>
      <c r="I450" s="33"/>
      <c r="J450" s="36"/>
      <c r="K450" s="37"/>
      <c r="L450" s="375"/>
      <c r="M450" s="363"/>
      <c r="N450" s="36"/>
      <c r="O450" s="36"/>
      <c r="P450" s="50"/>
      <c r="Q450" s="36"/>
      <c r="R450" s="36"/>
      <c r="S450" s="36"/>
      <c r="T450" s="36"/>
      <c r="U450" s="36"/>
      <c r="V450" s="36"/>
      <c r="W450" s="36"/>
      <c r="X450" s="36"/>
      <c r="Y450" s="36"/>
      <c r="Z450" s="37"/>
      <c r="AA450" s="52"/>
      <c r="AB450" s="50"/>
      <c r="AC450" s="50"/>
      <c r="AD450" s="51"/>
      <c r="AE450" s="52"/>
      <c r="AF450" s="36"/>
    </row>
    <row r="451" spans="2:32" x14ac:dyDescent="0.3">
      <c r="B451" s="36"/>
      <c r="C451" s="36"/>
      <c r="E451" s="33">
        <v>1</v>
      </c>
      <c r="F451" s="70" t="s">
        <v>131</v>
      </c>
      <c r="G451" s="70" t="s">
        <v>131</v>
      </c>
      <c r="H451" s="33">
        <v>16</v>
      </c>
      <c r="I451" s="33">
        <v>12</v>
      </c>
      <c r="J451" s="36" t="s">
        <v>166</v>
      </c>
      <c r="K451" s="374" t="s">
        <v>290</v>
      </c>
      <c r="L451" s="375" t="s">
        <v>291</v>
      </c>
      <c r="M451" s="375" t="s">
        <v>292</v>
      </c>
      <c r="N451" s="36" t="s">
        <v>301</v>
      </c>
      <c r="O451" s="36" t="s">
        <v>301</v>
      </c>
      <c r="P451" s="50">
        <v>438650450</v>
      </c>
      <c r="Q451" s="36" t="s">
        <v>301</v>
      </c>
      <c r="R451" s="431">
        <f>P451+(P451*10%)</f>
        <v>482515495</v>
      </c>
      <c r="S451" s="36" t="s">
        <v>301</v>
      </c>
      <c r="T451" s="431">
        <f>R451+(R451*10%)</f>
        <v>530767044.5</v>
      </c>
      <c r="U451" s="36" t="s">
        <v>301</v>
      </c>
      <c r="V451" s="431">
        <f>T451+(T451*10%)</f>
        <v>583843748.95000005</v>
      </c>
      <c r="W451" s="36" t="s">
        <v>301</v>
      </c>
      <c r="X451" s="431">
        <f>V451+(V451*10%)</f>
        <v>642228123.84500003</v>
      </c>
      <c r="Y451" s="36" t="s">
        <v>301</v>
      </c>
      <c r="Z451" s="431">
        <f>X451+V451+T451+R451+P451</f>
        <v>2678004862.2950001</v>
      </c>
      <c r="AA451" s="52" t="s">
        <v>84</v>
      </c>
      <c r="AB451" s="50"/>
      <c r="AC451" s="50"/>
      <c r="AD451" s="51"/>
      <c r="AE451" s="52"/>
      <c r="AF451" s="36" t="s">
        <v>75</v>
      </c>
    </row>
    <row r="452" spans="2:32" ht="28.5" x14ac:dyDescent="0.3">
      <c r="B452" s="36"/>
      <c r="C452" s="36"/>
      <c r="E452" s="33"/>
      <c r="F452" s="33"/>
      <c r="G452" s="33"/>
      <c r="H452" s="33"/>
      <c r="I452" s="33"/>
      <c r="J452" s="36"/>
      <c r="K452" s="374" t="s">
        <v>293</v>
      </c>
      <c r="L452" s="375" t="s">
        <v>291</v>
      </c>
      <c r="M452" s="362" t="s">
        <v>1276</v>
      </c>
      <c r="N452" s="36" t="s">
        <v>1140</v>
      </c>
      <c r="O452" s="36" t="s">
        <v>1140</v>
      </c>
      <c r="P452" s="50"/>
      <c r="Q452" s="36" t="s">
        <v>1140</v>
      </c>
      <c r="R452" s="36"/>
      <c r="S452" s="36" t="s">
        <v>1140</v>
      </c>
      <c r="T452" s="36"/>
      <c r="U452" s="36" t="s">
        <v>1140</v>
      </c>
      <c r="V452" s="36"/>
      <c r="W452" s="36" t="s">
        <v>1140</v>
      </c>
      <c r="X452" s="36"/>
      <c r="Y452" s="36" t="s">
        <v>1140</v>
      </c>
      <c r="Z452" s="37"/>
      <c r="AA452" s="52"/>
      <c r="AB452" s="50">
        <v>31375</v>
      </c>
      <c r="AC452" s="50">
        <f>AB452+(AB452*10%)</f>
        <v>34512.5</v>
      </c>
      <c r="AD452" s="51" t="s">
        <v>66</v>
      </c>
      <c r="AE452" s="52" t="s">
        <v>81</v>
      </c>
      <c r="AF452" s="36"/>
    </row>
    <row r="453" spans="2:32" s="81" customFormat="1" ht="28.5" x14ac:dyDescent="0.3">
      <c r="B453" s="36"/>
      <c r="C453" s="36"/>
      <c r="D453" s="447"/>
      <c r="E453" s="33"/>
      <c r="F453" s="33"/>
      <c r="G453" s="33"/>
      <c r="H453" s="33"/>
      <c r="I453" s="33"/>
      <c r="J453" s="36"/>
      <c r="K453" s="37"/>
      <c r="L453" s="375" t="s">
        <v>291</v>
      </c>
      <c r="M453" s="362" t="s">
        <v>1277</v>
      </c>
      <c r="N453" s="36" t="s">
        <v>658</v>
      </c>
      <c r="O453" s="36" t="s">
        <v>658</v>
      </c>
      <c r="P453" s="50"/>
      <c r="Q453" s="36" t="s">
        <v>658</v>
      </c>
      <c r="R453" s="36"/>
      <c r="S453" s="36" t="s">
        <v>658</v>
      </c>
      <c r="T453" s="36"/>
      <c r="U453" s="36" t="s">
        <v>658</v>
      </c>
      <c r="V453" s="36"/>
      <c r="W453" s="36" t="s">
        <v>658</v>
      </c>
      <c r="X453" s="36"/>
      <c r="Y453" s="36" t="s">
        <v>658</v>
      </c>
      <c r="Z453" s="37"/>
      <c r="AA453" s="52"/>
      <c r="AB453" s="50"/>
      <c r="AC453" s="50"/>
      <c r="AD453" s="51"/>
      <c r="AE453" s="52"/>
      <c r="AF453" s="36"/>
    </row>
    <row r="454" spans="2:32" ht="28.5" x14ac:dyDescent="0.3">
      <c r="B454" s="36"/>
      <c r="C454" s="36"/>
      <c r="E454" s="33"/>
      <c r="F454" s="33"/>
      <c r="G454" s="33"/>
      <c r="H454" s="33"/>
      <c r="I454" s="33"/>
      <c r="J454" s="36"/>
      <c r="K454" s="37"/>
      <c r="L454" s="375" t="s">
        <v>291</v>
      </c>
      <c r="M454" s="362" t="s">
        <v>1278</v>
      </c>
      <c r="N454" s="36" t="s">
        <v>660</v>
      </c>
      <c r="O454" s="36" t="s">
        <v>660</v>
      </c>
      <c r="P454" s="50"/>
      <c r="Q454" s="36" t="s">
        <v>660</v>
      </c>
      <c r="R454" s="36"/>
      <c r="S454" s="36" t="s">
        <v>660</v>
      </c>
      <c r="T454" s="36"/>
      <c r="U454" s="36" t="s">
        <v>660</v>
      </c>
      <c r="V454" s="36"/>
      <c r="W454" s="36" t="s">
        <v>660</v>
      </c>
      <c r="X454" s="36"/>
      <c r="Y454" s="36" t="s">
        <v>660</v>
      </c>
      <c r="Z454" s="37"/>
      <c r="AA454" s="52"/>
      <c r="AB454" s="50">
        <v>3280000</v>
      </c>
      <c r="AC454" s="50">
        <f t="shared" ref="AC454" si="17">AB454+(AB454*10%)</f>
        <v>3608000</v>
      </c>
      <c r="AD454" s="51" t="s">
        <v>84</v>
      </c>
      <c r="AE454" s="52" t="s">
        <v>81</v>
      </c>
      <c r="AF454" s="36"/>
    </row>
    <row r="455" spans="2:32" ht="42.75" x14ac:dyDescent="0.3">
      <c r="B455" s="36"/>
      <c r="C455" s="36"/>
      <c r="E455" s="33"/>
      <c r="F455" s="33"/>
      <c r="G455" s="33"/>
      <c r="H455" s="33"/>
      <c r="I455" s="33"/>
      <c r="J455" s="36"/>
      <c r="K455" s="374" t="s">
        <v>294</v>
      </c>
      <c r="L455" s="375" t="s">
        <v>291</v>
      </c>
      <c r="M455" s="362" t="s">
        <v>1454</v>
      </c>
      <c r="N455" s="41">
        <v>1</v>
      </c>
      <c r="O455" s="41">
        <v>1</v>
      </c>
      <c r="P455" s="50"/>
      <c r="Q455" s="41">
        <v>1</v>
      </c>
      <c r="R455" s="36"/>
      <c r="S455" s="41">
        <v>1</v>
      </c>
      <c r="T455" s="36"/>
      <c r="U455" s="41">
        <v>1</v>
      </c>
      <c r="V455" s="36"/>
      <c r="W455" s="41">
        <v>1</v>
      </c>
      <c r="X455" s="36"/>
      <c r="Y455" s="41">
        <v>1</v>
      </c>
      <c r="Z455" s="37"/>
      <c r="AA455" s="52"/>
      <c r="AB455" s="50"/>
      <c r="AC455" s="50"/>
      <c r="AD455" s="51"/>
      <c r="AE455" s="52"/>
      <c r="AF455" s="36"/>
    </row>
    <row r="456" spans="2:32" x14ac:dyDescent="0.3">
      <c r="B456" s="36"/>
      <c r="C456" s="36"/>
      <c r="E456" s="33"/>
      <c r="F456" s="33"/>
      <c r="G456" s="33"/>
      <c r="H456" s="33"/>
      <c r="I456" s="33"/>
      <c r="J456" s="36"/>
      <c r="K456" s="374" t="s">
        <v>295</v>
      </c>
      <c r="L456" s="375" t="s">
        <v>291</v>
      </c>
      <c r="M456" s="384" t="s">
        <v>1445</v>
      </c>
      <c r="N456" s="36"/>
      <c r="O456" s="36"/>
      <c r="P456" s="50"/>
      <c r="Q456" s="36"/>
      <c r="R456" s="36"/>
      <c r="S456" s="36"/>
      <c r="T456" s="36"/>
      <c r="U456" s="36"/>
      <c r="V456" s="36"/>
      <c r="W456" s="36"/>
      <c r="X456" s="36"/>
      <c r="Y456" s="36"/>
      <c r="Z456" s="37"/>
      <c r="AA456" s="52"/>
      <c r="AB456" s="50"/>
      <c r="AC456" s="50"/>
      <c r="AD456" s="51"/>
      <c r="AE456" s="52"/>
      <c r="AF456" s="36"/>
    </row>
    <row r="457" spans="2:32" x14ac:dyDescent="0.3">
      <c r="B457" s="92"/>
      <c r="C457" s="92"/>
      <c r="D457" s="445"/>
      <c r="E457" s="91"/>
      <c r="F457" s="91"/>
      <c r="G457" s="91"/>
      <c r="H457" s="91"/>
      <c r="I457" s="91"/>
      <c r="J457" s="92"/>
      <c r="K457" s="377" t="s">
        <v>297</v>
      </c>
      <c r="L457" s="378" t="s">
        <v>291</v>
      </c>
      <c r="M457" s="385" t="s">
        <v>1433</v>
      </c>
      <c r="N457" s="92"/>
      <c r="O457" s="92"/>
      <c r="P457" s="93"/>
      <c r="Q457" s="92"/>
      <c r="R457" s="92"/>
      <c r="S457" s="92"/>
      <c r="T457" s="92"/>
      <c r="U457" s="92"/>
      <c r="V457" s="92"/>
      <c r="W457" s="92"/>
      <c r="X457" s="92"/>
      <c r="Y457" s="92"/>
      <c r="Z457" s="101"/>
      <c r="AA457" s="95"/>
      <c r="AB457" s="93"/>
      <c r="AC457" s="93"/>
      <c r="AD457" s="94"/>
      <c r="AE457" s="95"/>
      <c r="AF457" s="92"/>
    </row>
    <row r="458" spans="2:32" x14ac:dyDescent="0.3">
      <c r="B458" s="36"/>
      <c r="C458" s="36"/>
      <c r="E458" s="33"/>
      <c r="F458" s="33"/>
      <c r="G458" s="33"/>
      <c r="H458" s="33"/>
      <c r="I458" s="33"/>
      <c r="J458" s="36"/>
      <c r="K458" s="37"/>
      <c r="L458" s="375"/>
      <c r="M458" s="362"/>
      <c r="N458" s="36"/>
      <c r="O458" s="36"/>
      <c r="P458" s="50"/>
      <c r="Q458" s="36"/>
      <c r="R458" s="36"/>
      <c r="S458" s="36"/>
      <c r="T458" s="36"/>
      <c r="U458" s="36"/>
      <c r="V458" s="36"/>
      <c r="W458" s="36"/>
      <c r="X458" s="36"/>
      <c r="Y458" s="36"/>
      <c r="Z458" s="37"/>
      <c r="AA458" s="52"/>
      <c r="AB458" s="50"/>
      <c r="AC458" s="50"/>
      <c r="AD458" s="51"/>
      <c r="AE458" s="52"/>
      <c r="AF458" s="36"/>
    </row>
    <row r="459" spans="2:32" s="76" customFormat="1" ht="42.75" x14ac:dyDescent="0.3">
      <c r="B459" s="36"/>
      <c r="C459" s="36"/>
      <c r="D459" s="433"/>
      <c r="E459" s="33">
        <v>1</v>
      </c>
      <c r="F459" s="70" t="s">
        <v>131</v>
      </c>
      <c r="G459" s="70" t="s">
        <v>131</v>
      </c>
      <c r="H459" s="33">
        <v>16</v>
      </c>
      <c r="I459" s="33">
        <v>14</v>
      </c>
      <c r="J459" s="36" t="s">
        <v>167</v>
      </c>
      <c r="K459" s="374" t="s">
        <v>290</v>
      </c>
      <c r="L459" s="375" t="s">
        <v>291</v>
      </c>
      <c r="M459" s="375" t="s">
        <v>292</v>
      </c>
      <c r="N459" s="36" t="s">
        <v>301</v>
      </c>
      <c r="O459" s="36" t="s">
        <v>301</v>
      </c>
      <c r="P459" s="50">
        <v>34371000</v>
      </c>
      <c r="Q459" s="36" t="s">
        <v>301</v>
      </c>
      <c r="R459" s="431">
        <f>P459+(P459*10%)</f>
        <v>37808100</v>
      </c>
      <c r="S459" s="36" t="s">
        <v>301</v>
      </c>
      <c r="T459" s="431">
        <f>R459+(R459*10%)</f>
        <v>41588910</v>
      </c>
      <c r="U459" s="36" t="s">
        <v>301</v>
      </c>
      <c r="V459" s="431">
        <f>T459+(T459*10%)</f>
        <v>45747801</v>
      </c>
      <c r="W459" s="36" t="s">
        <v>301</v>
      </c>
      <c r="X459" s="431">
        <f>V459+(V459*10%)</f>
        <v>50322581.100000001</v>
      </c>
      <c r="Y459" s="36" t="s">
        <v>301</v>
      </c>
      <c r="Z459" s="431">
        <f>X459+V459+T459+R459+P459</f>
        <v>209838392.09999999</v>
      </c>
      <c r="AA459" s="52" t="str">
        <f>AA451</f>
        <v>Dinas dikpora</v>
      </c>
      <c r="AB459" s="85"/>
      <c r="AC459" s="50"/>
      <c r="AD459" s="51"/>
      <c r="AE459" s="52"/>
      <c r="AF459" s="36" t="s">
        <v>75</v>
      </c>
    </row>
    <row r="460" spans="2:32" ht="28.5" x14ac:dyDescent="0.3">
      <c r="B460" s="36"/>
      <c r="C460" s="36"/>
      <c r="E460" s="33"/>
      <c r="F460" s="33"/>
      <c r="G460" s="33"/>
      <c r="H460" s="33"/>
      <c r="I460" s="33"/>
      <c r="J460" s="36"/>
      <c r="K460" s="374" t="s">
        <v>293</v>
      </c>
      <c r="L460" s="375" t="s">
        <v>291</v>
      </c>
      <c r="M460" s="362" t="s">
        <v>1279</v>
      </c>
      <c r="N460" s="36" t="s">
        <v>705</v>
      </c>
      <c r="O460" s="36" t="s">
        <v>705</v>
      </c>
      <c r="P460" s="50"/>
      <c r="Q460" s="36" t="s">
        <v>705</v>
      </c>
      <c r="R460" s="36"/>
      <c r="S460" s="36" t="s">
        <v>705</v>
      </c>
      <c r="T460" s="36"/>
      <c r="U460" s="36" t="s">
        <v>705</v>
      </c>
      <c r="V460" s="36"/>
      <c r="W460" s="36" t="s">
        <v>705</v>
      </c>
      <c r="X460" s="36"/>
      <c r="Y460" s="36" t="s">
        <v>705</v>
      </c>
      <c r="Z460" s="37"/>
      <c r="AA460" s="52"/>
      <c r="AB460" s="50">
        <f>46332*50</f>
        <v>2316600</v>
      </c>
      <c r="AC460" s="50">
        <f>46782*100</f>
        <v>4678200</v>
      </c>
      <c r="AD460" s="51" t="s">
        <v>84</v>
      </c>
      <c r="AE460" s="52" t="s">
        <v>81</v>
      </c>
      <c r="AF460" s="36"/>
    </row>
    <row r="461" spans="2:32" ht="28.5" x14ac:dyDescent="0.3">
      <c r="B461" s="36"/>
      <c r="C461" s="36"/>
      <c r="E461" s="33"/>
      <c r="F461" s="33"/>
      <c r="G461" s="33"/>
      <c r="H461" s="33"/>
      <c r="I461" s="33"/>
      <c r="J461" s="36"/>
      <c r="K461" s="37"/>
      <c r="L461" s="375" t="s">
        <v>291</v>
      </c>
      <c r="M461" s="362" t="s">
        <v>1280</v>
      </c>
      <c r="N461" s="36" t="s">
        <v>707</v>
      </c>
      <c r="O461" s="36" t="s">
        <v>707</v>
      </c>
      <c r="P461" s="50"/>
      <c r="Q461" s="36" t="s">
        <v>707</v>
      </c>
      <c r="R461" s="36"/>
      <c r="S461" s="36" t="s">
        <v>707</v>
      </c>
      <c r="T461" s="36"/>
      <c r="U461" s="36" t="s">
        <v>707</v>
      </c>
      <c r="V461" s="36"/>
      <c r="W461" s="36" t="s">
        <v>707</v>
      </c>
      <c r="X461" s="36"/>
      <c r="Y461" s="36" t="s">
        <v>707</v>
      </c>
      <c r="Z461" s="37"/>
      <c r="AA461" s="52"/>
      <c r="AB461" s="50">
        <f>325250-190000</f>
        <v>135250</v>
      </c>
      <c r="AC461" s="50">
        <f>AB461+(AB461*10%)</f>
        <v>148775</v>
      </c>
      <c r="AD461" s="51" t="s">
        <v>66</v>
      </c>
      <c r="AE461" s="52" t="s">
        <v>81</v>
      </c>
      <c r="AF461" s="36"/>
    </row>
    <row r="462" spans="2:32" ht="28.5" x14ac:dyDescent="0.3">
      <c r="B462" s="36"/>
      <c r="C462" s="36"/>
      <c r="E462" s="33"/>
      <c r="F462" s="33"/>
      <c r="G462" s="33"/>
      <c r="H462" s="33"/>
      <c r="I462" s="33"/>
      <c r="J462" s="36"/>
      <c r="K462" s="374" t="s">
        <v>294</v>
      </c>
      <c r="L462" s="375" t="s">
        <v>291</v>
      </c>
      <c r="M462" s="362" t="s">
        <v>1455</v>
      </c>
      <c r="N462" s="41">
        <v>1</v>
      </c>
      <c r="O462" s="41">
        <v>1</v>
      </c>
      <c r="P462" s="50"/>
      <c r="Q462" s="41">
        <v>1</v>
      </c>
      <c r="R462" s="36"/>
      <c r="S462" s="41">
        <v>1</v>
      </c>
      <c r="T462" s="36"/>
      <c r="U462" s="41">
        <v>1</v>
      </c>
      <c r="V462" s="36"/>
      <c r="W462" s="41">
        <v>1</v>
      </c>
      <c r="X462" s="36"/>
      <c r="Y462" s="41">
        <v>1</v>
      </c>
      <c r="Z462" s="37"/>
      <c r="AA462" s="52"/>
      <c r="AB462" s="50"/>
      <c r="AC462" s="50"/>
      <c r="AD462" s="51"/>
      <c r="AE462" s="52"/>
      <c r="AF462" s="36"/>
    </row>
    <row r="463" spans="2:32" x14ac:dyDescent="0.3">
      <c r="B463" s="36"/>
      <c r="C463" s="36"/>
      <c r="E463" s="33"/>
      <c r="F463" s="33"/>
      <c r="G463" s="33"/>
      <c r="H463" s="33"/>
      <c r="I463" s="33"/>
      <c r="J463" s="36"/>
      <c r="K463" s="374" t="s">
        <v>295</v>
      </c>
      <c r="L463" s="375" t="s">
        <v>291</v>
      </c>
      <c r="M463" s="384" t="s">
        <v>1456</v>
      </c>
      <c r="N463" s="36"/>
      <c r="O463" s="36"/>
      <c r="P463" s="50"/>
      <c r="Q463" s="36"/>
      <c r="R463" s="36"/>
      <c r="S463" s="36"/>
      <c r="T463" s="36"/>
      <c r="U463" s="36"/>
      <c r="V463" s="36"/>
      <c r="W463" s="36"/>
      <c r="X463" s="36"/>
      <c r="Y463" s="36"/>
      <c r="Z463" s="37"/>
      <c r="AA463" s="52"/>
      <c r="AB463" s="50"/>
      <c r="AC463" s="50"/>
      <c r="AD463" s="51"/>
      <c r="AE463" s="52"/>
      <c r="AF463" s="36"/>
    </row>
    <row r="464" spans="2:32" ht="28.5" x14ac:dyDescent="0.3">
      <c r="B464" s="92"/>
      <c r="C464" s="92"/>
      <c r="D464" s="445"/>
      <c r="E464" s="91"/>
      <c r="F464" s="91"/>
      <c r="G464" s="91"/>
      <c r="H464" s="91"/>
      <c r="I464" s="91"/>
      <c r="J464" s="92"/>
      <c r="K464" s="377" t="s">
        <v>297</v>
      </c>
      <c r="L464" s="378" t="s">
        <v>291</v>
      </c>
      <c r="M464" s="459" t="s">
        <v>1457</v>
      </c>
      <c r="N464" s="92"/>
      <c r="O464" s="92"/>
      <c r="P464" s="93"/>
      <c r="Q464" s="92"/>
      <c r="R464" s="92"/>
      <c r="S464" s="92"/>
      <c r="T464" s="92"/>
      <c r="U464" s="92"/>
      <c r="V464" s="92"/>
      <c r="W464" s="92"/>
      <c r="X464" s="92"/>
      <c r="Y464" s="92"/>
      <c r="Z464" s="101"/>
      <c r="AA464" s="95"/>
      <c r="AB464" s="93"/>
      <c r="AC464" s="93"/>
      <c r="AD464" s="94"/>
      <c r="AE464" s="95"/>
      <c r="AF464" s="92"/>
    </row>
    <row r="465" spans="2:32" x14ac:dyDescent="0.3">
      <c r="B465" s="36"/>
      <c r="C465" s="36"/>
      <c r="E465" s="33"/>
      <c r="F465" s="33"/>
      <c r="G465" s="33"/>
      <c r="H465" s="33"/>
      <c r="I465" s="33"/>
      <c r="J465" s="36"/>
      <c r="K465" s="37"/>
      <c r="L465" s="375"/>
      <c r="M465" s="362"/>
      <c r="N465" s="36"/>
      <c r="O465" s="36"/>
      <c r="P465" s="50"/>
      <c r="Q465" s="36"/>
      <c r="R465" s="36"/>
      <c r="S465" s="36"/>
      <c r="T465" s="36"/>
      <c r="U465" s="36"/>
      <c r="V465" s="36"/>
      <c r="W465" s="36"/>
      <c r="X465" s="36"/>
      <c r="Y465" s="36"/>
      <c r="Z465" s="37"/>
      <c r="AA465" s="52"/>
      <c r="AB465" s="50"/>
      <c r="AC465" s="50"/>
      <c r="AD465" s="51"/>
      <c r="AE465" s="52"/>
      <c r="AF465" s="36"/>
    </row>
    <row r="466" spans="2:32" ht="28.5" x14ac:dyDescent="0.3">
      <c r="B466" s="36"/>
      <c r="C466" s="36"/>
      <c r="E466" s="33">
        <v>1</v>
      </c>
      <c r="F466" s="70" t="s">
        <v>131</v>
      </c>
      <c r="G466" s="70" t="s">
        <v>131</v>
      </c>
      <c r="H466" s="33">
        <v>16</v>
      </c>
      <c r="I466" s="33">
        <v>16</v>
      </c>
      <c r="J466" s="36" t="s">
        <v>168</v>
      </c>
      <c r="K466" s="374" t="s">
        <v>290</v>
      </c>
      <c r="L466" s="375" t="s">
        <v>291</v>
      </c>
      <c r="M466" s="375" t="s">
        <v>292</v>
      </c>
      <c r="N466" s="36" t="s">
        <v>301</v>
      </c>
      <c r="O466" s="36" t="s">
        <v>301</v>
      </c>
      <c r="P466" s="50">
        <v>25016000</v>
      </c>
      <c r="Q466" s="36" t="s">
        <v>301</v>
      </c>
      <c r="R466" s="431">
        <f>P466+(P466*10%)</f>
        <v>27517600</v>
      </c>
      <c r="S466" s="36" t="s">
        <v>301</v>
      </c>
      <c r="T466" s="431">
        <f>R466+(R466*10%)</f>
        <v>30269360</v>
      </c>
      <c r="U466" s="36" t="s">
        <v>301</v>
      </c>
      <c r="V466" s="431">
        <f>T466+(T466*10%)</f>
        <v>33296296</v>
      </c>
      <c r="W466" s="36" t="s">
        <v>301</v>
      </c>
      <c r="X466" s="431">
        <f>V466+(V466*10%)</f>
        <v>36625925.600000001</v>
      </c>
      <c r="Y466" s="36" t="s">
        <v>301</v>
      </c>
      <c r="Z466" s="431">
        <f>X466+V466+T466+R466+P466</f>
        <v>152725181.59999999</v>
      </c>
      <c r="AA466" s="52" t="str">
        <f>AA459</f>
        <v>Dinas dikpora</v>
      </c>
      <c r="AB466" s="50">
        <f>18*5000</f>
        <v>90000</v>
      </c>
      <c r="AC466" s="50">
        <f>AB466+(AB466*10%)</f>
        <v>99000</v>
      </c>
      <c r="AD466" s="51" t="s">
        <v>66</v>
      </c>
      <c r="AE466" s="52" t="s">
        <v>81</v>
      </c>
      <c r="AF466" s="36" t="s">
        <v>75</v>
      </c>
    </row>
    <row r="467" spans="2:32" x14ac:dyDescent="0.3">
      <c r="B467" s="36"/>
      <c r="C467" s="36"/>
      <c r="E467" s="33"/>
      <c r="F467" s="33"/>
      <c r="G467" s="33"/>
      <c r="H467" s="33"/>
      <c r="I467" s="33"/>
      <c r="J467" s="36"/>
      <c r="K467" s="374" t="s">
        <v>293</v>
      </c>
      <c r="L467" s="375" t="s">
        <v>291</v>
      </c>
      <c r="M467" s="362" t="s">
        <v>1281</v>
      </c>
      <c r="N467" s="36" t="s">
        <v>1141</v>
      </c>
      <c r="O467" s="36" t="s">
        <v>1141</v>
      </c>
      <c r="P467" s="50"/>
      <c r="Q467" s="36" t="s">
        <v>1141</v>
      </c>
      <c r="R467" s="36"/>
      <c r="S467" s="36" t="s">
        <v>1141</v>
      </c>
      <c r="T467" s="36"/>
      <c r="U467" s="36" t="s">
        <v>1141</v>
      </c>
      <c r="V467" s="36"/>
      <c r="W467" s="36" t="s">
        <v>1141</v>
      </c>
      <c r="X467" s="36"/>
      <c r="Y467" s="36" t="s">
        <v>1141</v>
      </c>
      <c r="Z467" s="37"/>
      <c r="AA467" s="52" t="str">
        <f>AA466</f>
        <v>Dinas dikpora</v>
      </c>
      <c r="AB467" s="50"/>
      <c r="AC467" s="50">
        <f t="shared" ref="AC467:AC468" si="18">AB467+(AB467*10%)</f>
        <v>0</v>
      </c>
      <c r="AD467" s="51"/>
      <c r="AE467" s="52"/>
      <c r="AF467" s="36"/>
    </row>
    <row r="468" spans="2:32" ht="28.5" x14ac:dyDescent="0.3">
      <c r="B468" s="36"/>
      <c r="C468" s="36"/>
      <c r="E468" s="33"/>
      <c r="F468" s="33"/>
      <c r="G468" s="33"/>
      <c r="H468" s="33"/>
      <c r="I468" s="33"/>
      <c r="J468" s="36"/>
      <c r="K468" s="37"/>
      <c r="L468" s="375" t="s">
        <v>291</v>
      </c>
      <c r="M468" s="362" t="s">
        <v>816</v>
      </c>
      <c r="N468" s="36" t="s">
        <v>817</v>
      </c>
      <c r="O468" s="36" t="s">
        <v>817</v>
      </c>
      <c r="P468" s="50"/>
      <c r="Q468" s="36" t="s">
        <v>817</v>
      </c>
      <c r="R468" s="36"/>
      <c r="S468" s="36" t="s">
        <v>817</v>
      </c>
      <c r="T468" s="36"/>
      <c r="U468" s="36" t="s">
        <v>817</v>
      </c>
      <c r="V468" s="36"/>
      <c r="W468" s="36" t="s">
        <v>817</v>
      </c>
      <c r="X468" s="36"/>
      <c r="Y468" s="36" t="s">
        <v>817</v>
      </c>
      <c r="Z468" s="37"/>
      <c r="AA468" s="52"/>
      <c r="AB468" s="50">
        <f>(500*36)+(50*240)+(8115*30)</f>
        <v>273450</v>
      </c>
      <c r="AC468" s="50">
        <f t="shared" si="18"/>
        <v>300795</v>
      </c>
      <c r="AD468" s="51" t="s">
        <v>84</v>
      </c>
      <c r="AE468" s="52" t="s">
        <v>81</v>
      </c>
      <c r="AF468" s="36"/>
    </row>
    <row r="469" spans="2:32" ht="28.5" x14ac:dyDescent="0.3">
      <c r="B469" s="36"/>
      <c r="C469" s="36"/>
      <c r="E469" s="33"/>
      <c r="F469" s="33"/>
      <c r="G469" s="33"/>
      <c r="H469" s="33"/>
      <c r="I469" s="33"/>
      <c r="J469" s="36"/>
      <c r="K469" s="374" t="s">
        <v>294</v>
      </c>
      <c r="L469" s="375" t="s">
        <v>291</v>
      </c>
      <c r="M469" s="362" t="s">
        <v>1458</v>
      </c>
      <c r="N469" s="41">
        <v>1</v>
      </c>
      <c r="O469" s="41">
        <v>1</v>
      </c>
      <c r="P469" s="50"/>
      <c r="Q469" s="41">
        <v>1</v>
      </c>
      <c r="R469" s="36"/>
      <c r="S469" s="41">
        <v>1</v>
      </c>
      <c r="T469" s="36"/>
      <c r="U469" s="41">
        <v>1</v>
      </c>
      <c r="V469" s="36"/>
      <c r="W469" s="41">
        <v>1</v>
      </c>
      <c r="X469" s="36"/>
      <c r="Y469" s="41">
        <v>1</v>
      </c>
      <c r="Z469" s="37"/>
      <c r="AA469" s="52"/>
      <c r="AB469" s="50"/>
      <c r="AC469" s="50"/>
      <c r="AD469" s="51"/>
      <c r="AE469" s="52"/>
      <c r="AF469" s="36"/>
    </row>
    <row r="470" spans="2:32" x14ac:dyDescent="0.3">
      <c r="B470" s="36"/>
      <c r="C470" s="36"/>
      <c r="E470" s="33"/>
      <c r="F470" s="33"/>
      <c r="G470" s="33"/>
      <c r="H470" s="33"/>
      <c r="I470" s="33"/>
      <c r="J470" s="36"/>
      <c r="K470" s="374" t="s">
        <v>295</v>
      </c>
      <c r="L470" s="375" t="s">
        <v>291</v>
      </c>
      <c r="M470" s="384" t="s">
        <v>1459</v>
      </c>
      <c r="N470" s="36"/>
      <c r="O470" s="36"/>
      <c r="P470" s="50"/>
      <c r="Q470" s="36"/>
      <c r="R470" s="36"/>
      <c r="S470" s="36"/>
      <c r="T470" s="36"/>
      <c r="U470" s="36"/>
      <c r="V470" s="36"/>
      <c r="W470" s="36"/>
      <c r="X470" s="36"/>
      <c r="Y470" s="36"/>
      <c r="Z470" s="37"/>
      <c r="AA470" s="52"/>
      <c r="AB470" s="50"/>
      <c r="AC470" s="50"/>
      <c r="AD470" s="51"/>
      <c r="AE470" s="52"/>
      <c r="AF470" s="36"/>
    </row>
    <row r="471" spans="2:32" x14ac:dyDescent="0.3">
      <c r="B471" s="92"/>
      <c r="C471" s="92"/>
      <c r="D471" s="445"/>
      <c r="E471" s="91"/>
      <c r="F471" s="91"/>
      <c r="G471" s="91"/>
      <c r="H471" s="91"/>
      <c r="I471" s="91"/>
      <c r="J471" s="92"/>
      <c r="K471" s="377" t="s">
        <v>297</v>
      </c>
      <c r="L471" s="378" t="s">
        <v>291</v>
      </c>
      <c r="M471" s="385" t="s">
        <v>501</v>
      </c>
      <c r="N471" s="92"/>
      <c r="O471" s="92"/>
      <c r="P471" s="93"/>
      <c r="Q471" s="92"/>
      <c r="R471" s="92"/>
      <c r="S471" s="92"/>
      <c r="T471" s="92"/>
      <c r="U471" s="92"/>
      <c r="V471" s="92"/>
      <c r="W471" s="92"/>
      <c r="X471" s="92"/>
      <c r="Y471" s="92"/>
      <c r="Z471" s="101"/>
      <c r="AA471" s="95"/>
      <c r="AB471" s="93"/>
      <c r="AC471" s="93"/>
      <c r="AD471" s="94"/>
      <c r="AE471" s="95"/>
      <c r="AF471" s="92"/>
    </row>
    <row r="472" spans="2:32" x14ac:dyDescent="0.3">
      <c r="B472" s="36"/>
      <c r="C472" s="36"/>
      <c r="E472" s="33"/>
      <c r="F472" s="33"/>
      <c r="G472" s="33"/>
      <c r="H472" s="33"/>
      <c r="I472" s="33"/>
      <c r="J472" s="36"/>
      <c r="K472" s="37"/>
      <c r="L472" s="375"/>
      <c r="M472" s="362"/>
      <c r="N472" s="36"/>
      <c r="O472" s="36"/>
      <c r="P472" s="50"/>
      <c r="Q472" s="36"/>
      <c r="R472" s="36"/>
      <c r="S472" s="36"/>
      <c r="T472" s="36"/>
      <c r="U472" s="36"/>
      <c r="V472" s="36"/>
      <c r="W472" s="36"/>
      <c r="X472" s="36"/>
      <c r="Y472" s="36"/>
      <c r="Z472" s="37"/>
      <c r="AA472" s="52"/>
      <c r="AB472" s="50"/>
      <c r="AC472" s="50"/>
      <c r="AD472" s="51"/>
      <c r="AE472" s="52"/>
      <c r="AF472" s="36"/>
    </row>
    <row r="473" spans="2:32" x14ac:dyDescent="0.3">
      <c r="B473" s="36"/>
      <c r="C473" s="36"/>
      <c r="E473" s="33">
        <v>1</v>
      </c>
      <c r="F473" s="70" t="s">
        <v>131</v>
      </c>
      <c r="G473" s="70" t="s">
        <v>131</v>
      </c>
      <c r="H473" s="33">
        <v>16</v>
      </c>
      <c r="I473" s="33">
        <v>17</v>
      </c>
      <c r="J473" s="36" t="s">
        <v>169</v>
      </c>
      <c r="K473" s="374" t="s">
        <v>290</v>
      </c>
      <c r="L473" s="375" t="s">
        <v>291</v>
      </c>
      <c r="M473" s="375" t="s">
        <v>292</v>
      </c>
      <c r="N473" s="36" t="s">
        <v>301</v>
      </c>
      <c r="O473" s="36" t="s">
        <v>301</v>
      </c>
      <c r="P473" s="50">
        <v>1495470900</v>
      </c>
      <c r="Q473" s="36" t="s">
        <v>301</v>
      </c>
      <c r="R473" s="431">
        <f>P473+(P473*10%)</f>
        <v>1645017990</v>
      </c>
      <c r="S473" s="36" t="s">
        <v>301</v>
      </c>
      <c r="T473" s="431">
        <f>R473+(R473*10%)</f>
        <v>1809519789</v>
      </c>
      <c r="U473" s="36" t="s">
        <v>301</v>
      </c>
      <c r="V473" s="431">
        <f>T473+(T473*10%)</f>
        <v>1990471767.9000001</v>
      </c>
      <c r="W473" s="36" t="s">
        <v>301</v>
      </c>
      <c r="X473" s="431">
        <f>V473+(V473*10%)</f>
        <v>2189518944.6900001</v>
      </c>
      <c r="Y473" s="36" t="s">
        <v>301</v>
      </c>
      <c r="Z473" s="431">
        <f>X473+V473+T473+R473+P473</f>
        <v>9129999391.5900002</v>
      </c>
      <c r="AA473" s="52" t="str">
        <f>AA467</f>
        <v>Dinas dikpora</v>
      </c>
      <c r="AB473" s="50"/>
      <c r="AC473" s="50"/>
      <c r="AD473" s="51"/>
      <c r="AE473" s="52"/>
      <c r="AF473" s="36" t="s">
        <v>170</v>
      </c>
    </row>
    <row r="474" spans="2:32" s="73" customFormat="1" ht="28.5" x14ac:dyDescent="0.3">
      <c r="B474" s="36"/>
      <c r="C474" s="36"/>
      <c r="D474" s="14"/>
      <c r="E474" s="33"/>
      <c r="F474" s="70"/>
      <c r="G474" s="70"/>
      <c r="H474" s="33"/>
      <c r="I474" s="33"/>
      <c r="J474" s="36"/>
      <c r="K474" s="374" t="s">
        <v>293</v>
      </c>
      <c r="L474" s="375" t="s">
        <v>291</v>
      </c>
      <c r="M474" s="362" t="s">
        <v>661</v>
      </c>
      <c r="N474" s="36" t="s">
        <v>1142</v>
      </c>
      <c r="O474" s="36" t="s">
        <v>1142</v>
      </c>
      <c r="P474" s="50"/>
      <c r="Q474" s="36" t="s">
        <v>1142</v>
      </c>
      <c r="R474" s="36"/>
      <c r="S474" s="36" t="s">
        <v>1142</v>
      </c>
      <c r="T474" s="36"/>
      <c r="U474" s="36" t="s">
        <v>1142</v>
      </c>
      <c r="V474" s="36"/>
      <c r="W474" s="36" t="s">
        <v>1142</v>
      </c>
      <c r="X474" s="36"/>
      <c r="Y474" s="36" t="s">
        <v>1142</v>
      </c>
      <c r="Z474" s="37"/>
      <c r="AA474" s="52"/>
      <c r="AB474" s="50"/>
      <c r="AC474" s="50"/>
      <c r="AD474" s="51"/>
      <c r="AE474" s="52"/>
      <c r="AF474" s="36"/>
    </row>
    <row r="475" spans="2:32" s="73" customFormat="1" x14ac:dyDescent="0.3">
      <c r="B475" s="36"/>
      <c r="C475" s="36"/>
      <c r="D475" s="14"/>
      <c r="E475" s="33"/>
      <c r="F475" s="70"/>
      <c r="G475" s="70"/>
      <c r="H475" s="33"/>
      <c r="I475" s="33"/>
      <c r="J475" s="36"/>
      <c r="K475" s="374" t="s">
        <v>294</v>
      </c>
      <c r="L475" s="375" t="s">
        <v>291</v>
      </c>
      <c r="M475" s="362" t="s">
        <v>1460</v>
      </c>
      <c r="N475" s="41">
        <v>1</v>
      </c>
      <c r="O475" s="41">
        <v>1</v>
      </c>
      <c r="P475" s="50"/>
      <c r="Q475" s="41">
        <v>1</v>
      </c>
      <c r="R475" s="36"/>
      <c r="S475" s="41">
        <v>1</v>
      </c>
      <c r="T475" s="36"/>
      <c r="U475" s="41">
        <v>1</v>
      </c>
      <c r="V475" s="36"/>
      <c r="W475" s="41">
        <v>1</v>
      </c>
      <c r="X475" s="36"/>
      <c r="Y475" s="41">
        <v>1</v>
      </c>
      <c r="Z475" s="37"/>
      <c r="AA475" s="52"/>
      <c r="AB475" s="50"/>
      <c r="AC475" s="50"/>
      <c r="AD475" s="51"/>
      <c r="AE475" s="52"/>
      <c r="AF475" s="36"/>
    </row>
    <row r="476" spans="2:32" s="73" customFormat="1" x14ac:dyDescent="0.3">
      <c r="B476" s="36"/>
      <c r="C476" s="36"/>
      <c r="D476" s="14"/>
      <c r="E476" s="33"/>
      <c r="F476" s="70"/>
      <c r="G476" s="70"/>
      <c r="H476" s="33"/>
      <c r="I476" s="33"/>
      <c r="J476" s="36"/>
      <c r="K476" s="374" t="s">
        <v>295</v>
      </c>
      <c r="L476" s="375" t="s">
        <v>291</v>
      </c>
      <c r="M476" s="384" t="s">
        <v>1459</v>
      </c>
      <c r="N476" s="36"/>
      <c r="O476" s="36"/>
      <c r="P476" s="50"/>
      <c r="Q476" s="36"/>
      <c r="R476" s="36"/>
      <c r="S476" s="36"/>
      <c r="T476" s="36"/>
      <c r="U476" s="36"/>
      <c r="V476" s="36"/>
      <c r="W476" s="36"/>
      <c r="X476" s="36"/>
      <c r="Y476" s="36"/>
      <c r="Z476" s="37"/>
      <c r="AA476" s="52"/>
      <c r="AB476" s="50"/>
      <c r="AC476" s="50"/>
      <c r="AD476" s="51"/>
      <c r="AE476" s="52"/>
      <c r="AF476" s="36"/>
    </row>
    <row r="477" spans="2:32" s="73" customFormat="1" x14ac:dyDescent="0.3">
      <c r="B477" s="92"/>
      <c r="C477" s="92"/>
      <c r="D477" s="448"/>
      <c r="E477" s="91"/>
      <c r="F477" s="409"/>
      <c r="G477" s="409"/>
      <c r="H477" s="91"/>
      <c r="I477" s="91"/>
      <c r="J477" s="92"/>
      <c r="K477" s="377" t="s">
        <v>297</v>
      </c>
      <c r="L477" s="378" t="s">
        <v>291</v>
      </c>
      <c r="M477" s="385" t="s">
        <v>501</v>
      </c>
      <c r="N477" s="92"/>
      <c r="O477" s="92"/>
      <c r="P477" s="93"/>
      <c r="Q477" s="92"/>
      <c r="R477" s="92"/>
      <c r="S477" s="92"/>
      <c r="T477" s="92"/>
      <c r="U477" s="92"/>
      <c r="V477" s="92"/>
      <c r="W477" s="92"/>
      <c r="X477" s="92"/>
      <c r="Y477" s="92"/>
      <c r="Z477" s="101"/>
      <c r="AA477" s="95"/>
      <c r="AB477" s="93"/>
      <c r="AC477" s="93"/>
      <c r="AD477" s="94"/>
      <c r="AE477" s="95"/>
      <c r="AF477" s="92"/>
    </row>
    <row r="478" spans="2:32" s="73" customFormat="1" x14ac:dyDescent="0.3">
      <c r="B478" s="36"/>
      <c r="C478" s="36"/>
      <c r="D478" s="14"/>
      <c r="E478" s="33"/>
      <c r="F478" s="70"/>
      <c r="G478" s="70"/>
      <c r="H478" s="33"/>
      <c r="I478" s="33"/>
      <c r="J478" s="36"/>
      <c r="K478" s="374"/>
      <c r="L478" s="375"/>
      <c r="M478" s="362"/>
      <c r="N478" s="36"/>
      <c r="O478" s="36"/>
      <c r="P478" s="50"/>
      <c r="Q478" s="36"/>
      <c r="R478" s="36"/>
      <c r="S478" s="36"/>
      <c r="T478" s="36"/>
      <c r="U478" s="36"/>
      <c r="V478" s="36"/>
      <c r="W478" s="36"/>
      <c r="X478" s="36"/>
      <c r="Y478" s="36"/>
      <c r="Z478" s="37"/>
      <c r="AA478" s="52"/>
      <c r="AB478" s="50"/>
      <c r="AC478" s="50"/>
      <c r="AD478" s="51"/>
      <c r="AE478" s="52"/>
      <c r="AF478" s="36"/>
    </row>
    <row r="479" spans="2:32" s="87" customFormat="1" ht="108" x14ac:dyDescent="0.25">
      <c r="B479" s="504" t="s">
        <v>1560</v>
      </c>
      <c r="C479" s="504" t="s">
        <v>1562</v>
      </c>
      <c r="D479" s="27" t="s">
        <v>1062</v>
      </c>
      <c r="E479" s="26">
        <v>1</v>
      </c>
      <c r="F479" s="69" t="s">
        <v>131</v>
      </c>
      <c r="G479" s="69" t="s">
        <v>131</v>
      </c>
      <c r="H479" s="26">
        <v>17</v>
      </c>
      <c r="I479" s="26"/>
      <c r="J479" s="27" t="s">
        <v>171</v>
      </c>
      <c r="K479" s="496" t="s">
        <v>1282</v>
      </c>
      <c r="L479" s="497"/>
      <c r="M479" s="498"/>
      <c r="N479" s="372">
        <v>0.8</v>
      </c>
      <c r="O479" s="372">
        <v>0.8</v>
      </c>
      <c r="P479" s="82">
        <f t="shared" ref="P479:R479" si="19">SUM(P481:P584)</f>
        <v>5175179800</v>
      </c>
      <c r="Q479" s="372">
        <v>0.8</v>
      </c>
      <c r="R479" s="82">
        <f t="shared" si="19"/>
        <v>5692697780</v>
      </c>
      <c r="S479" s="372">
        <v>0.8</v>
      </c>
      <c r="T479" s="82">
        <f t="shared" ref="T479" si="20">SUM(T481:T584)</f>
        <v>6261967558</v>
      </c>
      <c r="U479" s="372">
        <v>0.8</v>
      </c>
      <c r="V479" s="82">
        <f t="shared" ref="V479" si="21">SUM(V481:V584)</f>
        <v>6888164313.7999992</v>
      </c>
      <c r="W479" s="372">
        <v>0.8</v>
      </c>
      <c r="X479" s="82">
        <f t="shared" ref="X479" si="22">SUM(X481:X584)</f>
        <v>7576980745.1800003</v>
      </c>
      <c r="Y479" s="372">
        <v>0.8</v>
      </c>
      <c r="Z479" s="430">
        <f>X479+V479+T479+R479+P479</f>
        <v>31594990196.98</v>
      </c>
      <c r="AA479" s="75"/>
      <c r="AB479" s="82"/>
      <c r="AC479" s="82"/>
      <c r="AD479" s="83"/>
      <c r="AE479" s="75"/>
      <c r="AF479" s="27" t="s">
        <v>154</v>
      </c>
    </row>
    <row r="480" spans="2:32" s="73" customFormat="1" ht="28.5" x14ac:dyDescent="0.3">
      <c r="B480" s="504"/>
      <c r="C480" s="504"/>
      <c r="D480" s="14"/>
      <c r="E480" s="26"/>
      <c r="F480" s="26"/>
      <c r="G480" s="26"/>
      <c r="H480" s="26"/>
      <c r="I480" s="26"/>
      <c r="J480" s="27" t="s">
        <v>63</v>
      </c>
      <c r="K480" s="35"/>
      <c r="L480" s="39"/>
      <c r="M480" s="362"/>
      <c r="N480" s="372"/>
      <c r="O480" s="372"/>
      <c r="P480" s="82"/>
      <c r="Q480" s="372"/>
      <c r="R480" s="36"/>
      <c r="S480" s="372"/>
      <c r="T480" s="36"/>
      <c r="U480" s="372"/>
      <c r="V480" s="36"/>
      <c r="W480" s="372"/>
      <c r="X480" s="36"/>
      <c r="Y480" s="372"/>
      <c r="Z480" s="37"/>
      <c r="AA480" s="75"/>
      <c r="AB480" s="50">
        <v>161097</v>
      </c>
      <c r="AC480" s="50">
        <f>AB480+(AB480*10%)</f>
        <v>177206.7</v>
      </c>
      <c r="AD480" s="51" t="str">
        <f>AD468</f>
        <v>Dinas dikpora</v>
      </c>
      <c r="AE480" s="52" t="s">
        <v>81</v>
      </c>
      <c r="AF480" s="27"/>
    </row>
    <row r="481" spans="2:32" s="73" customFormat="1" ht="28.5" x14ac:dyDescent="0.3">
      <c r="B481" s="504"/>
      <c r="C481" s="504"/>
      <c r="D481" s="14"/>
      <c r="E481" s="33">
        <v>1</v>
      </c>
      <c r="F481" s="70" t="s">
        <v>131</v>
      </c>
      <c r="G481" s="70" t="s">
        <v>131</v>
      </c>
      <c r="H481" s="33">
        <v>17</v>
      </c>
      <c r="I481" s="34">
        <v>1</v>
      </c>
      <c r="J481" s="36" t="s">
        <v>172</v>
      </c>
      <c r="K481" s="374" t="s">
        <v>290</v>
      </c>
      <c r="L481" s="375" t="s">
        <v>291</v>
      </c>
      <c r="M481" s="375" t="s">
        <v>292</v>
      </c>
      <c r="N481" s="36" t="s">
        <v>301</v>
      </c>
      <c r="O481" s="36" t="s">
        <v>301</v>
      </c>
      <c r="P481" s="50">
        <v>2524890000</v>
      </c>
      <c r="Q481" s="36" t="s">
        <v>301</v>
      </c>
      <c r="R481" s="431">
        <f>P481+(P481*10%)</f>
        <v>2777379000</v>
      </c>
      <c r="S481" s="36" t="s">
        <v>301</v>
      </c>
      <c r="T481" s="431">
        <f>R481+(R481*10%)</f>
        <v>3055116900</v>
      </c>
      <c r="U481" s="36" t="s">
        <v>301</v>
      </c>
      <c r="V481" s="431">
        <f>T481+(T481*10%)</f>
        <v>3360628590</v>
      </c>
      <c r="W481" s="36" t="s">
        <v>301</v>
      </c>
      <c r="X481" s="431">
        <f>V481+(V481*10%)</f>
        <v>3696691449</v>
      </c>
      <c r="Y481" s="36" t="s">
        <v>301</v>
      </c>
      <c r="Z481" s="431">
        <f>X481+V481+T481+R481+P481</f>
        <v>15414705939</v>
      </c>
      <c r="AA481" s="52" t="str">
        <f>AA473</f>
        <v>Dinas dikpora</v>
      </c>
      <c r="AB481" s="50"/>
      <c r="AC481" s="50"/>
      <c r="AD481" s="51"/>
      <c r="AE481" s="52"/>
      <c r="AF481" s="36" t="s">
        <v>156</v>
      </c>
    </row>
    <row r="482" spans="2:32" x14ac:dyDescent="0.3">
      <c r="B482" s="504"/>
      <c r="C482" s="504"/>
      <c r="E482" s="33"/>
      <c r="F482" s="33"/>
      <c r="G482" s="33"/>
      <c r="H482" s="33"/>
      <c r="I482" s="33"/>
      <c r="J482" s="36"/>
      <c r="K482" s="374" t="s">
        <v>293</v>
      </c>
      <c r="L482" s="375" t="s">
        <v>291</v>
      </c>
      <c r="M482" s="362" t="s">
        <v>1283</v>
      </c>
      <c r="N482" s="36" t="s">
        <v>1143</v>
      </c>
      <c r="O482" s="36" t="s">
        <v>1143</v>
      </c>
      <c r="P482" s="50"/>
      <c r="Q482" s="36" t="s">
        <v>1143</v>
      </c>
      <c r="R482" s="36"/>
      <c r="S482" s="36" t="s">
        <v>1143</v>
      </c>
      <c r="T482" s="36"/>
      <c r="U482" s="36" t="s">
        <v>1143</v>
      </c>
      <c r="V482" s="36"/>
      <c r="W482" s="36" t="s">
        <v>1143</v>
      </c>
      <c r="X482" s="36"/>
      <c r="Y482" s="36" t="s">
        <v>1143</v>
      </c>
      <c r="Z482" s="37"/>
      <c r="AA482" s="52"/>
      <c r="AB482" s="50"/>
      <c r="AC482" s="50"/>
      <c r="AD482" s="51"/>
      <c r="AE482" s="52"/>
      <c r="AF482" s="36"/>
    </row>
    <row r="483" spans="2:32" ht="28.5" x14ac:dyDescent="0.3">
      <c r="B483" s="504"/>
      <c r="C483" s="504"/>
      <c r="E483" s="33"/>
      <c r="F483" s="33"/>
      <c r="G483" s="33"/>
      <c r="H483" s="33"/>
      <c r="I483" s="33"/>
      <c r="J483" s="36"/>
      <c r="K483" s="37"/>
      <c r="L483" s="375" t="s">
        <v>291</v>
      </c>
      <c r="M483" s="362" t="s">
        <v>735</v>
      </c>
      <c r="N483" s="36" t="s">
        <v>736</v>
      </c>
      <c r="O483" s="36" t="s">
        <v>736</v>
      </c>
      <c r="P483" s="50"/>
      <c r="Q483" s="36" t="s">
        <v>736</v>
      </c>
      <c r="R483" s="36"/>
      <c r="S483" s="36" t="s">
        <v>736</v>
      </c>
      <c r="T483" s="36"/>
      <c r="U483" s="36" t="s">
        <v>736</v>
      </c>
      <c r="V483" s="36"/>
      <c r="W483" s="36" t="s">
        <v>736</v>
      </c>
      <c r="X483" s="36"/>
      <c r="Y483" s="36" t="s">
        <v>736</v>
      </c>
      <c r="Z483" s="37"/>
      <c r="AA483" s="52"/>
      <c r="AB483" s="50"/>
      <c r="AC483" s="50"/>
      <c r="AD483" s="51"/>
      <c r="AE483" s="52"/>
      <c r="AF483" s="36"/>
    </row>
    <row r="484" spans="2:32" ht="42.75" x14ac:dyDescent="0.3">
      <c r="B484" s="36"/>
      <c r="C484" s="36"/>
      <c r="E484" s="33"/>
      <c r="F484" s="33"/>
      <c r="G484" s="33"/>
      <c r="H484" s="33"/>
      <c r="I484" s="33"/>
      <c r="J484" s="36"/>
      <c r="K484" s="37"/>
      <c r="L484" s="375" t="s">
        <v>291</v>
      </c>
      <c r="M484" s="362" t="s">
        <v>1284</v>
      </c>
      <c r="N484" s="36" t="s">
        <v>749</v>
      </c>
      <c r="O484" s="36" t="s">
        <v>749</v>
      </c>
      <c r="P484" s="50"/>
      <c r="Q484" s="36" t="s">
        <v>749</v>
      </c>
      <c r="R484" s="36"/>
      <c r="S484" s="36" t="s">
        <v>749</v>
      </c>
      <c r="T484" s="36"/>
      <c r="U484" s="36" t="s">
        <v>749</v>
      </c>
      <c r="V484" s="36"/>
      <c r="W484" s="36" t="s">
        <v>749</v>
      </c>
      <c r="X484" s="36"/>
      <c r="Y484" s="36" t="s">
        <v>749</v>
      </c>
      <c r="Z484" s="37"/>
      <c r="AA484" s="52"/>
      <c r="AB484" s="50">
        <f>150*250</f>
        <v>37500</v>
      </c>
      <c r="AC484" s="50">
        <f>AB484+(AB484*5%)</f>
        <v>39375</v>
      </c>
      <c r="AD484" s="51" t="e">
        <f>#REF!</f>
        <v>#REF!</v>
      </c>
      <c r="AE484" s="52" t="s">
        <v>81</v>
      </c>
      <c r="AF484" s="36"/>
    </row>
    <row r="485" spans="2:32" ht="28.5" x14ac:dyDescent="0.3">
      <c r="B485" s="36"/>
      <c r="C485" s="36"/>
      <c r="E485" s="33"/>
      <c r="F485" s="33"/>
      <c r="G485" s="33"/>
      <c r="H485" s="33"/>
      <c r="I485" s="33"/>
      <c r="J485" s="36"/>
      <c r="K485" s="37"/>
      <c r="L485" s="375" t="s">
        <v>291</v>
      </c>
      <c r="M485" s="362" t="s">
        <v>737</v>
      </c>
      <c r="N485" s="36" t="s">
        <v>738</v>
      </c>
      <c r="O485" s="36" t="s">
        <v>738</v>
      </c>
      <c r="P485" s="50"/>
      <c r="Q485" s="36" t="s">
        <v>738</v>
      </c>
      <c r="R485" s="36"/>
      <c r="S485" s="36" t="s">
        <v>738</v>
      </c>
      <c r="T485" s="36"/>
      <c r="U485" s="36" t="s">
        <v>738</v>
      </c>
      <c r="V485" s="36"/>
      <c r="W485" s="36" t="s">
        <v>738</v>
      </c>
      <c r="X485" s="36"/>
      <c r="Y485" s="36" t="s">
        <v>738</v>
      </c>
      <c r="Z485" s="37"/>
      <c r="AA485" s="52"/>
      <c r="AB485" s="50"/>
      <c r="AC485" s="50"/>
      <c r="AD485" s="51"/>
      <c r="AE485" s="52"/>
      <c r="AF485" s="36"/>
    </row>
    <row r="486" spans="2:32" ht="42.75" x14ac:dyDescent="0.3">
      <c r="B486" s="36"/>
      <c r="C486" s="36"/>
      <c r="E486" s="33"/>
      <c r="F486" s="33"/>
      <c r="G486" s="33"/>
      <c r="H486" s="33"/>
      <c r="I486" s="33"/>
      <c r="J486" s="36"/>
      <c r="K486" s="37"/>
      <c r="L486" s="375" t="s">
        <v>291</v>
      </c>
      <c r="M486" s="362" t="s">
        <v>739</v>
      </c>
      <c r="N486" s="36" t="s">
        <v>1144</v>
      </c>
      <c r="O486" s="36" t="s">
        <v>1144</v>
      </c>
      <c r="P486" s="50"/>
      <c r="Q486" s="36" t="s">
        <v>1144</v>
      </c>
      <c r="R486" s="36"/>
      <c r="S486" s="36" t="s">
        <v>1144</v>
      </c>
      <c r="T486" s="36"/>
      <c r="U486" s="36" t="s">
        <v>1144</v>
      </c>
      <c r="V486" s="36"/>
      <c r="W486" s="36" t="s">
        <v>1144</v>
      </c>
      <c r="X486" s="36"/>
      <c r="Y486" s="36" t="s">
        <v>1144</v>
      </c>
      <c r="Z486" s="37"/>
      <c r="AA486" s="52"/>
      <c r="AB486" s="50"/>
      <c r="AC486" s="50"/>
      <c r="AD486" s="51"/>
      <c r="AE486" s="52"/>
      <c r="AF486" s="36"/>
    </row>
    <row r="487" spans="2:32" s="32" customFormat="1" ht="28.5" x14ac:dyDescent="0.25">
      <c r="B487" s="27"/>
      <c r="C487" s="27"/>
      <c r="D487" s="434"/>
      <c r="E487" s="33"/>
      <c r="F487" s="33"/>
      <c r="G487" s="33"/>
      <c r="H487" s="33"/>
      <c r="I487" s="33"/>
      <c r="J487" s="36"/>
      <c r="K487" s="37"/>
      <c r="L487" s="375" t="s">
        <v>291</v>
      </c>
      <c r="M487" s="362" t="s">
        <v>1285</v>
      </c>
      <c r="N487" s="36" t="s">
        <v>736</v>
      </c>
      <c r="O487" s="36" t="s">
        <v>736</v>
      </c>
      <c r="P487" s="50"/>
      <c r="Q487" s="36" t="s">
        <v>736</v>
      </c>
      <c r="R487" s="27"/>
      <c r="S487" s="36" t="s">
        <v>736</v>
      </c>
      <c r="T487" s="27"/>
      <c r="U487" s="36" t="s">
        <v>736</v>
      </c>
      <c r="V487" s="27"/>
      <c r="W487" s="36" t="s">
        <v>736</v>
      </c>
      <c r="X487" s="27"/>
      <c r="Y487" s="36" t="s">
        <v>736</v>
      </c>
      <c r="Z487" s="35"/>
      <c r="AA487" s="52"/>
      <c r="AB487" s="82"/>
      <c r="AC487" s="82"/>
      <c r="AD487" s="83"/>
      <c r="AE487" s="75"/>
      <c r="AF487" s="36"/>
    </row>
    <row r="488" spans="2:32" s="72" customFormat="1" ht="28.5" x14ac:dyDescent="0.3">
      <c r="B488" s="36"/>
      <c r="C488" s="36"/>
      <c r="D488" s="433"/>
      <c r="E488" s="33"/>
      <c r="F488" s="33"/>
      <c r="G488" s="33"/>
      <c r="H488" s="33"/>
      <c r="I488" s="33"/>
      <c r="J488" s="36"/>
      <c r="K488" s="37"/>
      <c r="L488" s="375" t="s">
        <v>291</v>
      </c>
      <c r="M488" s="362" t="s">
        <v>590</v>
      </c>
      <c r="N488" s="36" t="s">
        <v>1145</v>
      </c>
      <c r="O488" s="36" t="s">
        <v>1145</v>
      </c>
      <c r="P488" s="50"/>
      <c r="Q488" s="36" t="s">
        <v>1145</v>
      </c>
      <c r="R488" s="36"/>
      <c r="S488" s="36" t="s">
        <v>1145</v>
      </c>
      <c r="T488" s="36"/>
      <c r="U488" s="36" t="s">
        <v>1145</v>
      </c>
      <c r="V488" s="36"/>
      <c r="W488" s="36" t="s">
        <v>1145</v>
      </c>
      <c r="X488" s="36"/>
      <c r="Y488" s="36" t="s">
        <v>1145</v>
      </c>
      <c r="Z488" s="37"/>
      <c r="AA488" s="52"/>
      <c r="AB488" s="50"/>
      <c r="AC488" s="50"/>
      <c r="AD488" s="51"/>
      <c r="AE488" s="52"/>
      <c r="AF488" s="36"/>
    </row>
    <row r="489" spans="2:32" s="72" customFormat="1" ht="42.75" x14ac:dyDescent="0.3">
      <c r="B489" s="36"/>
      <c r="C489" s="36"/>
      <c r="D489" s="433"/>
      <c r="E489" s="33"/>
      <c r="F489" s="33"/>
      <c r="G489" s="33"/>
      <c r="H489" s="33"/>
      <c r="I489" s="33"/>
      <c r="J489" s="36"/>
      <c r="K489" s="374" t="s">
        <v>294</v>
      </c>
      <c r="L489" s="375" t="s">
        <v>291</v>
      </c>
      <c r="M489" s="362" t="s">
        <v>1461</v>
      </c>
      <c r="N489" s="41">
        <v>1</v>
      </c>
      <c r="O489" s="41">
        <v>1</v>
      </c>
      <c r="P489" s="50"/>
      <c r="Q489" s="41">
        <v>1</v>
      </c>
      <c r="R489" s="36"/>
      <c r="S489" s="41">
        <v>1</v>
      </c>
      <c r="T489" s="36"/>
      <c r="U489" s="41">
        <v>1</v>
      </c>
      <c r="V489" s="36"/>
      <c r="W489" s="41">
        <v>1</v>
      </c>
      <c r="X489" s="36"/>
      <c r="Y489" s="41">
        <v>1</v>
      </c>
      <c r="Z489" s="37"/>
      <c r="AA489" s="52"/>
      <c r="AB489" s="50"/>
      <c r="AC489" s="50"/>
      <c r="AD489" s="51"/>
      <c r="AE489" s="52"/>
      <c r="AF489" s="36"/>
    </row>
    <row r="490" spans="2:32" s="72" customFormat="1" x14ac:dyDescent="0.3">
      <c r="B490" s="36"/>
      <c r="C490" s="36"/>
      <c r="D490" s="433"/>
      <c r="E490" s="33"/>
      <c r="F490" s="33"/>
      <c r="G490" s="33"/>
      <c r="H490" s="33"/>
      <c r="I490" s="33"/>
      <c r="J490" s="36"/>
      <c r="K490" s="374" t="s">
        <v>295</v>
      </c>
      <c r="L490" s="375" t="s">
        <v>291</v>
      </c>
      <c r="M490" s="384" t="s">
        <v>1435</v>
      </c>
      <c r="N490" s="36"/>
      <c r="O490" s="36"/>
      <c r="P490" s="50"/>
      <c r="Q490" s="36"/>
      <c r="R490" s="36"/>
      <c r="S490" s="36"/>
      <c r="T490" s="36"/>
      <c r="U490" s="36"/>
      <c r="V490" s="36"/>
      <c r="W490" s="36"/>
      <c r="X490" s="36"/>
      <c r="Y490" s="36"/>
      <c r="Z490" s="37"/>
      <c r="AA490" s="52"/>
      <c r="AB490" s="50"/>
      <c r="AC490" s="50"/>
      <c r="AD490" s="51"/>
      <c r="AE490" s="52"/>
      <c r="AF490" s="36"/>
    </row>
    <row r="491" spans="2:32" s="72" customFormat="1" x14ac:dyDescent="0.3">
      <c r="B491" s="92"/>
      <c r="C491" s="92"/>
      <c r="D491" s="445"/>
      <c r="E491" s="91"/>
      <c r="F491" s="91"/>
      <c r="G491" s="91"/>
      <c r="H491" s="91"/>
      <c r="I491" s="91"/>
      <c r="J491" s="92"/>
      <c r="K491" s="377" t="s">
        <v>297</v>
      </c>
      <c r="L491" s="378" t="s">
        <v>291</v>
      </c>
      <c r="M491" s="385" t="s">
        <v>1433</v>
      </c>
      <c r="N491" s="92"/>
      <c r="O491" s="92"/>
      <c r="P491" s="93"/>
      <c r="Q491" s="92"/>
      <c r="R491" s="92"/>
      <c r="S491" s="92"/>
      <c r="T491" s="92"/>
      <c r="U491" s="92"/>
      <c r="V491" s="92"/>
      <c r="W491" s="92"/>
      <c r="X491" s="92"/>
      <c r="Y491" s="92"/>
      <c r="Z491" s="101"/>
      <c r="AA491" s="95"/>
      <c r="AB491" s="93"/>
      <c r="AC491" s="93"/>
      <c r="AD491" s="94"/>
      <c r="AE491" s="95"/>
      <c r="AF491" s="92"/>
    </row>
    <row r="492" spans="2:32" s="72" customFormat="1" x14ac:dyDescent="0.3">
      <c r="B492" s="36"/>
      <c r="C492" s="36"/>
      <c r="D492" s="433"/>
      <c r="E492" s="33"/>
      <c r="F492" s="33"/>
      <c r="G492" s="33"/>
      <c r="H492" s="33"/>
      <c r="I492" s="33"/>
      <c r="J492" s="36"/>
      <c r="K492" s="37"/>
      <c r="L492" s="375"/>
      <c r="M492" s="362"/>
      <c r="N492" s="36"/>
      <c r="O492" s="36"/>
      <c r="P492" s="50"/>
      <c r="Q492" s="36"/>
      <c r="R492" s="36"/>
      <c r="S492" s="36"/>
      <c r="T492" s="36"/>
      <c r="U492" s="36"/>
      <c r="V492" s="36"/>
      <c r="W492" s="36"/>
      <c r="X492" s="36"/>
      <c r="Y492" s="36"/>
      <c r="Z492" s="37"/>
      <c r="AA492" s="52"/>
      <c r="AB492" s="50"/>
      <c r="AC492" s="50"/>
      <c r="AD492" s="51"/>
      <c r="AE492" s="52"/>
      <c r="AF492" s="36"/>
    </row>
    <row r="493" spans="2:32" s="72" customFormat="1" ht="28.5" x14ac:dyDescent="0.3">
      <c r="B493" s="36"/>
      <c r="C493" s="36"/>
      <c r="D493" s="433"/>
      <c r="E493" s="33">
        <v>1</v>
      </c>
      <c r="F493" s="70" t="s">
        <v>131</v>
      </c>
      <c r="G493" s="70" t="s">
        <v>131</v>
      </c>
      <c r="H493" s="33">
        <v>17</v>
      </c>
      <c r="I493" s="34">
        <v>2</v>
      </c>
      <c r="J493" s="36" t="s">
        <v>173</v>
      </c>
      <c r="K493" s="374" t="s">
        <v>290</v>
      </c>
      <c r="L493" s="375" t="s">
        <v>291</v>
      </c>
      <c r="M493" s="375" t="s">
        <v>292</v>
      </c>
      <c r="N493" s="36" t="s">
        <v>301</v>
      </c>
      <c r="O493" s="36" t="s">
        <v>301</v>
      </c>
      <c r="P493" s="50">
        <v>155034700</v>
      </c>
      <c r="Q493" s="36" t="s">
        <v>301</v>
      </c>
      <c r="R493" s="431">
        <f>P493+(P493*10%)</f>
        <v>170538170</v>
      </c>
      <c r="S493" s="36" t="s">
        <v>301</v>
      </c>
      <c r="T493" s="431">
        <f>R493+(R493*10%)</f>
        <v>187591987</v>
      </c>
      <c r="U493" s="36" t="s">
        <v>301</v>
      </c>
      <c r="V493" s="431">
        <f>T493+(T493*10%)</f>
        <v>206351185.69999999</v>
      </c>
      <c r="W493" s="36" t="s">
        <v>301</v>
      </c>
      <c r="X493" s="431">
        <f>V493+(V493*10%)</f>
        <v>226986304.26999998</v>
      </c>
      <c r="Y493" s="36" t="s">
        <v>301</v>
      </c>
      <c r="Z493" s="431">
        <f>X493+V493+T493+R493+P493</f>
        <v>946502346.97000003</v>
      </c>
      <c r="AA493" s="52" t="str">
        <f>AA516</f>
        <v>Dinas Dikpora</v>
      </c>
      <c r="AB493" s="50">
        <f>250000+(250000*10%)</f>
        <v>275000</v>
      </c>
      <c r="AC493" s="50">
        <f>AB493+(AB493*10%)</f>
        <v>302500</v>
      </c>
      <c r="AD493" s="51" t="e">
        <f>#REF!</f>
        <v>#REF!</v>
      </c>
      <c r="AE493" s="52" t="s">
        <v>81</v>
      </c>
      <c r="AF493" s="36" t="s">
        <v>156</v>
      </c>
    </row>
    <row r="494" spans="2:32" s="72" customFormat="1" ht="28.5" x14ac:dyDescent="0.3">
      <c r="B494" s="36"/>
      <c r="C494" s="36"/>
      <c r="D494" s="433"/>
      <c r="E494" s="33"/>
      <c r="F494" s="33"/>
      <c r="G494" s="33"/>
      <c r="H494" s="33"/>
      <c r="I494" s="33"/>
      <c r="J494" s="36"/>
      <c r="K494" s="374" t="s">
        <v>293</v>
      </c>
      <c r="L494" s="375" t="s">
        <v>291</v>
      </c>
      <c r="M494" s="362" t="s">
        <v>1242</v>
      </c>
      <c r="N494" s="36" t="s">
        <v>1146</v>
      </c>
      <c r="O494" s="36" t="s">
        <v>1146</v>
      </c>
      <c r="P494" s="50"/>
      <c r="Q494" s="36" t="s">
        <v>1146</v>
      </c>
      <c r="R494" s="40"/>
      <c r="S494" s="36" t="s">
        <v>1146</v>
      </c>
      <c r="T494" s="40"/>
      <c r="U494" s="36" t="s">
        <v>1146</v>
      </c>
      <c r="V494" s="40"/>
      <c r="W494" s="36" t="s">
        <v>1146</v>
      </c>
      <c r="X494" s="40"/>
      <c r="Y494" s="36" t="s">
        <v>1146</v>
      </c>
      <c r="Z494" s="43"/>
      <c r="AA494" s="52"/>
      <c r="AB494" s="50"/>
      <c r="AC494" s="50"/>
      <c r="AD494" s="51"/>
      <c r="AE494" s="52"/>
      <c r="AF494" s="36"/>
    </row>
    <row r="495" spans="2:32" s="72" customFormat="1" ht="28.5" x14ac:dyDescent="0.3">
      <c r="B495" s="36"/>
      <c r="C495" s="36"/>
      <c r="D495" s="433"/>
      <c r="E495" s="33"/>
      <c r="F495" s="33"/>
      <c r="G495" s="33"/>
      <c r="H495" s="33"/>
      <c r="I495" s="33"/>
      <c r="J495" s="36"/>
      <c r="K495" s="37"/>
      <c r="L495" s="375" t="s">
        <v>291</v>
      </c>
      <c r="M495" s="362" t="s">
        <v>764</v>
      </c>
      <c r="N495" s="36" t="s">
        <v>1124</v>
      </c>
      <c r="O495" s="36" t="s">
        <v>1124</v>
      </c>
      <c r="P495" s="50"/>
      <c r="Q495" s="36" t="s">
        <v>1124</v>
      </c>
      <c r="R495" s="36"/>
      <c r="S495" s="36" t="s">
        <v>1124</v>
      </c>
      <c r="T495" s="36"/>
      <c r="U495" s="36" t="s">
        <v>1124</v>
      </c>
      <c r="V495" s="36"/>
      <c r="W495" s="36" t="s">
        <v>1124</v>
      </c>
      <c r="X495" s="36"/>
      <c r="Y495" s="36" t="s">
        <v>1124</v>
      </c>
      <c r="Z495" s="37"/>
      <c r="AA495" s="52"/>
      <c r="AB495" s="50"/>
      <c r="AC495" s="50"/>
      <c r="AD495" s="51"/>
      <c r="AE495" s="52"/>
      <c r="AF495" s="36"/>
    </row>
    <row r="496" spans="2:32" s="72" customFormat="1" ht="28.5" x14ac:dyDescent="0.3">
      <c r="B496" s="36"/>
      <c r="C496" s="36"/>
      <c r="D496" s="433"/>
      <c r="E496" s="33"/>
      <c r="F496" s="33"/>
      <c r="G496" s="33"/>
      <c r="H496" s="33"/>
      <c r="I496" s="33"/>
      <c r="J496" s="36"/>
      <c r="K496" s="37"/>
      <c r="L496" s="375" t="s">
        <v>291</v>
      </c>
      <c r="M496" s="362" t="s">
        <v>765</v>
      </c>
      <c r="N496" s="36" t="s">
        <v>1125</v>
      </c>
      <c r="O496" s="36" t="s">
        <v>1125</v>
      </c>
      <c r="P496" s="50"/>
      <c r="Q496" s="36" t="s">
        <v>1125</v>
      </c>
      <c r="R496" s="36"/>
      <c r="S496" s="36" t="s">
        <v>1125</v>
      </c>
      <c r="T496" s="36"/>
      <c r="U496" s="36" t="s">
        <v>1125</v>
      </c>
      <c r="V496" s="36"/>
      <c r="W496" s="36" t="s">
        <v>1125</v>
      </c>
      <c r="X496" s="36"/>
      <c r="Y496" s="36" t="s">
        <v>1125</v>
      </c>
      <c r="Z496" s="37"/>
      <c r="AA496" s="52"/>
      <c r="AB496" s="50"/>
      <c r="AC496" s="50"/>
      <c r="AD496" s="51"/>
      <c r="AE496" s="52"/>
      <c r="AF496" s="36"/>
    </row>
    <row r="497" spans="2:32" s="72" customFormat="1" ht="42.75" x14ac:dyDescent="0.3">
      <c r="B497" s="36"/>
      <c r="C497" s="36"/>
      <c r="D497" s="433"/>
      <c r="E497" s="33"/>
      <c r="F497" s="33"/>
      <c r="G497" s="33"/>
      <c r="H497" s="33"/>
      <c r="I497" s="33"/>
      <c r="J497" s="36"/>
      <c r="K497" s="37"/>
      <c r="L497" s="375" t="s">
        <v>291</v>
      </c>
      <c r="M497" s="362" t="s">
        <v>766</v>
      </c>
      <c r="N497" s="36" t="s">
        <v>1126</v>
      </c>
      <c r="O497" s="36" t="s">
        <v>1126</v>
      </c>
      <c r="P497" s="50"/>
      <c r="Q497" s="36" t="s">
        <v>1126</v>
      </c>
      <c r="R497" s="36"/>
      <c r="S497" s="36" t="s">
        <v>1126</v>
      </c>
      <c r="T497" s="36"/>
      <c r="U497" s="36" t="s">
        <v>1126</v>
      </c>
      <c r="V497" s="36"/>
      <c r="W497" s="36" t="s">
        <v>1126</v>
      </c>
      <c r="X497" s="36"/>
      <c r="Y497" s="36" t="s">
        <v>1126</v>
      </c>
      <c r="Z497" s="37"/>
      <c r="AA497" s="52"/>
      <c r="AB497" s="50"/>
      <c r="AC497" s="50"/>
      <c r="AD497" s="51"/>
      <c r="AE497" s="52"/>
      <c r="AF497" s="36"/>
    </row>
    <row r="498" spans="2:32" s="72" customFormat="1" ht="28.5" x14ac:dyDescent="0.3">
      <c r="B498" s="36"/>
      <c r="C498" s="36"/>
      <c r="D498" s="444"/>
      <c r="E498" s="33"/>
      <c r="F498" s="33"/>
      <c r="G498" s="33"/>
      <c r="H498" s="33"/>
      <c r="I498" s="33"/>
      <c r="J498" s="36"/>
      <c r="K498" s="37"/>
      <c r="L498" s="375" t="s">
        <v>291</v>
      </c>
      <c r="M498" s="362" t="s">
        <v>767</v>
      </c>
      <c r="N498" s="36" t="s">
        <v>1128</v>
      </c>
      <c r="O498" s="36" t="s">
        <v>1128</v>
      </c>
      <c r="P498" s="50"/>
      <c r="Q498" s="36" t="s">
        <v>1128</v>
      </c>
      <c r="R498" s="373"/>
      <c r="S498" s="36" t="s">
        <v>1128</v>
      </c>
      <c r="T498" s="373"/>
      <c r="U498" s="36" t="s">
        <v>1128</v>
      </c>
      <c r="V498" s="373"/>
      <c r="W498" s="36" t="s">
        <v>1128</v>
      </c>
      <c r="X498" s="373"/>
      <c r="Y498" s="36" t="s">
        <v>1128</v>
      </c>
      <c r="Z498" s="373"/>
      <c r="AA498" s="52"/>
      <c r="AB498" s="50"/>
      <c r="AC498" s="50"/>
      <c r="AD498" s="51"/>
      <c r="AE498" s="52"/>
      <c r="AF498" s="36"/>
    </row>
    <row r="499" spans="2:32" s="72" customFormat="1" ht="28.5" x14ac:dyDescent="0.3">
      <c r="B499" s="36"/>
      <c r="C499" s="36"/>
      <c r="D499" s="433"/>
      <c r="E499" s="33"/>
      <c r="F499" s="33"/>
      <c r="G499" s="33"/>
      <c r="H499" s="33"/>
      <c r="I499" s="33"/>
      <c r="J499" s="36"/>
      <c r="K499" s="37"/>
      <c r="L499" s="375" t="s">
        <v>291</v>
      </c>
      <c r="M499" s="362" t="s">
        <v>768</v>
      </c>
      <c r="N499" s="36" t="s">
        <v>1124</v>
      </c>
      <c r="O499" s="36" t="s">
        <v>1124</v>
      </c>
      <c r="P499" s="50"/>
      <c r="Q499" s="36" t="s">
        <v>1124</v>
      </c>
      <c r="R499" s="36"/>
      <c r="S499" s="36" t="s">
        <v>1124</v>
      </c>
      <c r="T499" s="36"/>
      <c r="U499" s="36" t="s">
        <v>1124</v>
      </c>
      <c r="V499" s="36"/>
      <c r="W499" s="36" t="s">
        <v>1124</v>
      </c>
      <c r="X499" s="36"/>
      <c r="Y499" s="36" t="s">
        <v>1124</v>
      </c>
      <c r="Z499" s="37"/>
      <c r="AA499" s="52"/>
      <c r="AB499" s="50"/>
      <c r="AC499" s="50"/>
      <c r="AD499" s="51"/>
      <c r="AE499" s="52"/>
      <c r="AF499" s="36"/>
    </row>
    <row r="500" spans="2:32" s="72" customFormat="1" ht="28.5" x14ac:dyDescent="0.3">
      <c r="B500" s="36"/>
      <c r="C500" s="36"/>
      <c r="D500" s="433"/>
      <c r="E500" s="33"/>
      <c r="F500" s="33"/>
      <c r="G500" s="33"/>
      <c r="H500" s="33"/>
      <c r="I500" s="33"/>
      <c r="J500" s="36"/>
      <c r="K500" s="374" t="s">
        <v>294</v>
      </c>
      <c r="L500" s="375" t="s">
        <v>291</v>
      </c>
      <c r="M500" s="362" t="s">
        <v>1462</v>
      </c>
      <c r="N500" s="41" t="s">
        <v>573</v>
      </c>
      <c r="O500" s="41" t="s">
        <v>573</v>
      </c>
      <c r="P500" s="50"/>
      <c r="Q500" s="41" t="s">
        <v>573</v>
      </c>
      <c r="R500" s="36"/>
      <c r="S500" s="41" t="s">
        <v>573</v>
      </c>
      <c r="T500" s="36"/>
      <c r="U500" s="41" t="s">
        <v>573</v>
      </c>
      <c r="V500" s="36"/>
      <c r="W500" s="41" t="s">
        <v>573</v>
      </c>
      <c r="X500" s="36"/>
      <c r="Y500" s="41" t="s">
        <v>573</v>
      </c>
      <c r="Z500" s="37"/>
      <c r="AA500" s="52"/>
      <c r="AB500" s="50"/>
      <c r="AC500" s="50"/>
      <c r="AD500" s="51"/>
      <c r="AE500" s="52"/>
      <c r="AF500" s="36"/>
    </row>
    <row r="501" spans="2:32" s="72" customFormat="1" x14ac:dyDescent="0.3">
      <c r="B501" s="36"/>
      <c r="C501" s="36"/>
      <c r="D501" s="433"/>
      <c r="E501" s="33"/>
      <c r="F501" s="33"/>
      <c r="G501" s="33"/>
      <c r="H501" s="33"/>
      <c r="I501" s="33"/>
      <c r="J501" s="36"/>
      <c r="K501" s="374" t="s">
        <v>295</v>
      </c>
      <c r="L501" s="375" t="s">
        <v>291</v>
      </c>
      <c r="M501" s="384" t="s">
        <v>1435</v>
      </c>
      <c r="N501" s="36"/>
      <c r="O501" s="36"/>
      <c r="P501" s="50"/>
      <c r="Q501" s="36"/>
      <c r="R501" s="36"/>
      <c r="S501" s="36"/>
      <c r="T501" s="36"/>
      <c r="U501" s="36"/>
      <c r="V501" s="36"/>
      <c r="W501" s="36"/>
      <c r="X501" s="36"/>
      <c r="Y501" s="36"/>
      <c r="Z501" s="37"/>
      <c r="AA501" s="52"/>
      <c r="AB501" s="50"/>
      <c r="AC501" s="50"/>
      <c r="AD501" s="51"/>
      <c r="AE501" s="52"/>
      <c r="AF501" s="36"/>
    </row>
    <row r="502" spans="2:32" s="72" customFormat="1" x14ac:dyDescent="0.3">
      <c r="B502" s="92"/>
      <c r="C502" s="92"/>
      <c r="D502" s="445"/>
      <c r="E502" s="91"/>
      <c r="F502" s="91"/>
      <c r="G502" s="91"/>
      <c r="H502" s="91"/>
      <c r="I502" s="91"/>
      <c r="J502" s="92"/>
      <c r="K502" s="377" t="s">
        <v>297</v>
      </c>
      <c r="L502" s="378" t="s">
        <v>291</v>
      </c>
      <c r="M502" s="385" t="s">
        <v>1433</v>
      </c>
      <c r="N502" s="92"/>
      <c r="O502" s="92"/>
      <c r="P502" s="93"/>
      <c r="Q502" s="92"/>
      <c r="R502" s="92"/>
      <c r="S502" s="92"/>
      <c r="T502" s="92"/>
      <c r="U502" s="92"/>
      <c r="V502" s="92"/>
      <c r="W502" s="92"/>
      <c r="X502" s="92"/>
      <c r="Y502" s="92"/>
      <c r="Z502" s="101"/>
      <c r="AA502" s="95"/>
      <c r="AB502" s="93"/>
      <c r="AC502" s="93"/>
      <c r="AD502" s="94"/>
      <c r="AE502" s="95"/>
      <c r="AF502" s="92"/>
    </row>
    <row r="503" spans="2:32" s="72" customFormat="1" x14ac:dyDescent="0.3">
      <c r="B503" s="36"/>
      <c r="C503" s="36"/>
      <c r="D503" s="433"/>
      <c r="E503" s="33"/>
      <c r="F503" s="33"/>
      <c r="G503" s="33"/>
      <c r="H503" s="33"/>
      <c r="I503" s="33"/>
      <c r="J503" s="36"/>
      <c r="K503" s="37"/>
      <c r="L503" s="375"/>
      <c r="M503" s="362"/>
      <c r="N503" s="36"/>
      <c r="O503" s="36"/>
      <c r="P503" s="50"/>
      <c r="Q503" s="36"/>
      <c r="R503" s="36"/>
      <c r="S503" s="36"/>
      <c r="T503" s="36"/>
      <c r="U503" s="36"/>
      <c r="V503" s="36"/>
      <c r="W503" s="36"/>
      <c r="X503" s="36"/>
      <c r="Y503" s="36"/>
      <c r="Z503" s="37"/>
      <c r="AA503" s="52"/>
      <c r="AB503" s="50"/>
      <c r="AC503" s="50"/>
      <c r="AD503" s="51"/>
      <c r="AE503" s="52"/>
      <c r="AF503" s="36"/>
    </row>
    <row r="504" spans="2:32" s="72" customFormat="1" ht="28.5" x14ac:dyDescent="0.3">
      <c r="B504" s="36"/>
      <c r="C504" s="36"/>
      <c r="D504" s="433"/>
      <c r="E504" s="33">
        <v>1</v>
      </c>
      <c r="F504" s="70" t="s">
        <v>131</v>
      </c>
      <c r="G504" s="70" t="s">
        <v>131</v>
      </c>
      <c r="H504" s="33">
        <v>17</v>
      </c>
      <c r="I504" s="34">
        <v>3</v>
      </c>
      <c r="J504" s="36" t="s">
        <v>174</v>
      </c>
      <c r="K504" s="374" t="s">
        <v>290</v>
      </c>
      <c r="L504" s="375" t="s">
        <v>291</v>
      </c>
      <c r="M504" s="375" t="s">
        <v>292</v>
      </c>
      <c r="N504" s="36" t="s">
        <v>301</v>
      </c>
      <c r="O504" s="36" t="s">
        <v>301</v>
      </c>
      <c r="P504" s="50">
        <v>356010000</v>
      </c>
      <c r="Q504" s="36" t="s">
        <v>301</v>
      </c>
      <c r="R504" s="431">
        <f>P504+(P504*10%)</f>
        <v>391611000</v>
      </c>
      <c r="S504" s="36" t="s">
        <v>301</v>
      </c>
      <c r="T504" s="431">
        <f>R504+(R504*10%)</f>
        <v>430772100</v>
      </c>
      <c r="U504" s="36" t="s">
        <v>301</v>
      </c>
      <c r="V504" s="431">
        <f>T504+(T504*10%)</f>
        <v>473849310</v>
      </c>
      <c r="W504" s="36" t="s">
        <v>301</v>
      </c>
      <c r="X504" s="431">
        <f>V504+(V504*10%)</f>
        <v>521234241</v>
      </c>
      <c r="Y504" s="36" t="s">
        <v>301</v>
      </c>
      <c r="Z504" s="431">
        <f>X504+V504+T504+R504+P504</f>
        <v>2173476651</v>
      </c>
      <c r="AA504" s="52" t="str">
        <f>AA493</f>
        <v>Dinas Dikpora</v>
      </c>
      <c r="AB504" s="50">
        <f>16*15000</f>
        <v>240000</v>
      </c>
      <c r="AC504" s="50">
        <f>AB504+(AB504*10%)</f>
        <v>264000</v>
      </c>
      <c r="AD504" s="51" t="e">
        <f>#REF!</f>
        <v>#REF!</v>
      </c>
      <c r="AE504" s="52" t="s">
        <v>81</v>
      </c>
      <c r="AF504" s="36" t="s">
        <v>156</v>
      </c>
    </row>
    <row r="505" spans="2:32" s="72" customFormat="1" ht="28.5" x14ac:dyDescent="0.3">
      <c r="B505" s="36"/>
      <c r="C505" s="36"/>
      <c r="D505" s="433"/>
      <c r="E505" s="33"/>
      <c r="F505" s="70"/>
      <c r="G505" s="70"/>
      <c r="H505" s="33"/>
      <c r="I505" s="34"/>
      <c r="J505" s="36"/>
      <c r="K505" s="374" t="s">
        <v>293</v>
      </c>
      <c r="L505" s="375" t="s">
        <v>291</v>
      </c>
      <c r="M505" s="362" t="s">
        <v>742</v>
      </c>
      <c r="N505" s="36" t="s">
        <v>1147</v>
      </c>
      <c r="O505" s="36" t="s">
        <v>1147</v>
      </c>
      <c r="P505" s="50"/>
      <c r="Q505" s="36" t="s">
        <v>1147</v>
      </c>
      <c r="R505" s="36"/>
      <c r="S505" s="36" t="s">
        <v>1147</v>
      </c>
      <c r="T505" s="36"/>
      <c r="U505" s="36" t="s">
        <v>1147</v>
      </c>
      <c r="V505" s="36"/>
      <c r="W505" s="36" t="s">
        <v>1147</v>
      </c>
      <c r="X505" s="36"/>
      <c r="Y505" s="36" t="s">
        <v>1147</v>
      </c>
      <c r="Z505" s="37"/>
      <c r="AA505" s="52"/>
      <c r="AB505" s="50"/>
      <c r="AC505" s="50"/>
      <c r="AD505" s="51"/>
      <c r="AE505" s="52"/>
      <c r="AF505" s="36"/>
    </row>
    <row r="506" spans="2:32" s="72" customFormat="1" ht="28.5" x14ac:dyDescent="0.3">
      <c r="B506" s="36"/>
      <c r="C506" s="36"/>
      <c r="D506" s="433"/>
      <c r="E506" s="33"/>
      <c r="F506" s="70"/>
      <c r="G506" s="70"/>
      <c r="H506" s="33"/>
      <c r="I506" s="34"/>
      <c r="J506" s="36"/>
      <c r="K506" s="374" t="s">
        <v>294</v>
      </c>
      <c r="L506" s="375" t="s">
        <v>291</v>
      </c>
      <c r="M506" s="362" t="s">
        <v>1463</v>
      </c>
      <c r="N506" s="41">
        <v>1</v>
      </c>
      <c r="O506" s="41">
        <v>1</v>
      </c>
      <c r="P506" s="50"/>
      <c r="Q506" s="41">
        <v>1</v>
      </c>
      <c r="R506" s="36"/>
      <c r="S506" s="41">
        <v>1</v>
      </c>
      <c r="T506" s="36"/>
      <c r="U506" s="41">
        <v>1</v>
      </c>
      <c r="V506" s="36"/>
      <c r="W506" s="41">
        <v>1</v>
      </c>
      <c r="X506" s="36"/>
      <c r="Y506" s="41">
        <v>1</v>
      </c>
      <c r="Z506" s="37"/>
      <c r="AA506" s="52"/>
      <c r="AB506" s="50">
        <f>6*15000</f>
        <v>90000</v>
      </c>
      <c r="AC506" s="50">
        <f>16*2500+(40000*10%)</f>
        <v>44000</v>
      </c>
      <c r="AD506" s="51" t="e">
        <f>AD504</f>
        <v>#REF!</v>
      </c>
      <c r="AE506" s="52" t="s">
        <v>81</v>
      </c>
      <c r="AF506" s="36"/>
    </row>
    <row r="507" spans="2:32" s="72" customFormat="1" x14ac:dyDescent="0.3">
      <c r="B507" s="36"/>
      <c r="C507" s="36"/>
      <c r="D507" s="433"/>
      <c r="E507" s="33"/>
      <c r="F507" s="70"/>
      <c r="G507" s="70"/>
      <c r="H507" s="33"/>
      <c r="I507" s="34"/>
      <c r="J507" s="36"/>
      <c r="K507" s="374" t="s">
        <v>295</v>
      </c>
      <c r="L507" s="375" t="s">
        <v>291</v>
      </c>
      <c r="M507" s="384" t="s">
        <v>1464</v>
      </c>
      <c r="N507" s="36"/>
      <c r="O507" s="36"/>
      <c r="P507" s="50"/>
      <c r="Q507" s="36"/>
      <c r="R507" s="36"/>
      <c r="S507" s="36"/>
      <c r="T507" s="36"/>
      <c r="U507" s="36"/>
      <c r="V507" s="36"/>
      <c r="W507" s="36"/>
      <c r="X507" s="36"/>
      <c r="Y507" s="36"/>
      <c r="Z507" s="37"/>
      <c r="AA507" s="52"/>
      <c r="AB507" s="50"/>
      <c r="AC507" s="50"/>
      <c r="AD507" s="51"/>
      <c r="AE507" s="52"/>
      <c r="AF507" s="36"/>
    </row>
    <row r="508" spans="2:32" s="72" customFormat="1" x14ac:dyDescent="0.3">
      <c r="B508" s="92"/>
      <c r="C508" s="92"/>
      <c r="D508" s="445"/>
      <c r="E508" s="91"/>
      <c r="F508" s="409"/>
      <c r="G508" s="409"/>
      <c r="H508" s="91"/>
      <c r="I508" s="376"/>
      <c r="J508" s="92"/>
      <c r="K508" s="377" t="s">
        <v>297</v>
      </c>
      <c r="L508" s="378" t="s">
        <v>291</v>
      </c>
      <c r="M508" s="385" t="s">
        <v>1465</v>
      </c>
      <c r="N508" s="92"/>
      <c r="O508" s="92"/>
      <c r="P508" s="93"/>
      <c r="Q508" s="92"/>
      <c r="R508" s="92"/>
      <c r="S508" s="92"/>
      <c r="T508" s="92"/>
      <c r="U508" s="92"/>
      <c r="V508" s="92"/>
      <c r="W508" s="92"/>
      <c r="X508" s="92"/>
      <c r="Y508" s="92"/>
      <c r="Z508" s="101"/>
      <c r="AA508" s="95"/>
      <c r="AB508" s="93"/>
      <c r="AC508" s="93"/>
      <c r="AD508" s="94"/>
      <c r="AE508" s="95"/>
      <c r="AF508" s="92"/>
    </row>
    <row r="509" spans="2:32" s="72" customFormat="1" x14ac:dyDescent="0.3">
      <c r="B509" s="36"/>
      <c r="C509" s="36"/>
      <c r="D509" s="433"/>
      <c r="E509" s="33"/>
      <c r="F509" s="70"/>
      <c r="G509" s="70"/>
      <c r="H509" s="33"/>
      <c r="I509" s="34"/>
      <c r="J509" s="36"/>
      <c r="K509" s="37"/>
      <c r="L509" s="46"/>
      <c r="M509" s="362"/>
      <c r="N509" s="36"/>
      <c r="O509" s="36"/>
      <c r="P509" s="50"/>
      <c r="Q509" s="36"/>
      <c r="R509" s="36"/>
      <c r="S509" s="36"/>
      <c r="T509" s="36"/>
      <c r="U509" s="36"/>
      <c r="V509" s="36"/>
      <c r="W509" s="36"/>
      <c r="X509" s="36"/>
      <c r="Y509" s="36"/>
      <c r="Z509" s="37"/>
      <c r="AA509" s="52"/>
      <c r="AB509" s="50"/>
      <c r="AC509" s="50"/>
      <c r="AD509" s="51"/>
      <c r="AE509" s="52"/>
      <c r="AF509" s="36"/>
    </row>
    <row r="510" spans="2:32" s="72" customFormat="1" ht="28.5" x14ac:dyDescent="0.3">
      <c r="B510" s="36"/>
      <c r="C510" s="36"/>
      <c r="D510" s="433"/>
      <c r="E510" s="33">
        <v>1</v>
      </c>
      <c r="F510" s="70" t="s">
        <v>131</v>
      </c>
      <c r="G510" s="70" t="s">
        <v>131</v>
      </c>
      <c r="H510" s="33">
        <v>17</v>
      </c>
      <c r="I510" s="34">
        <v>4</v>
      </c>
      <c r="J510" s="36" t="s">
        <v>175</v>
      </c>
      <c r="K510" s="374" t="s">
        <v>290</v>
      </c>
      <c r="L510" s="375" t="s">
        <v>291</v>
      </c>
      <c r="M510" s="375" t="s">
        <v>292</v>
      </c>
      <c r="N510" s="36" t="s">
        <v>301</v>
      </c>
      <c r="O510" s="36" t="s">
        <v>301</v>
      </c>
      <c r="P510" s="50">
        <v>1204075600</v>
      </c>
      <c r="Q510" s="36" t="s">
        <v>301</v>
      </c>
      <c r="R510" s="431">
        <f>P510+(P510*10%)</f>
        <v>1324483160</v>
      </c>
      <c r="S510" s="36" t="s">
        <v>301</v>
      </c>
      <c r="T510" s="431">
        <f>R510+(R510*10%)</f>
        <v>1456931476</v>
      </c>
      <c r="U510" s="36" t="s">
        <v>301</v>
      </c>
      <c r="V510" s="431">
        <f>T510+(T510*10%)</f>
        <v>1602624623.5999999</v>
      </c>
      <c r="W510" s="36" t="s">
        <v>301</v>
      </c>
      <c r="X510" s="431">
        <f>V510+(V510*10%)</f>
        <v>1762887085.9599998</v>
      </c>
      <c r="Y510" s="36" t="s">
        <v>301</v>
      </c>
      <c r="Z510" s="431">
        <f>X510+V510+T510+R510+P510</f>
        <v>7351001945.5599995</v>
      </c>
      <c r="AA510" s="52" t="str">
        <f>AA504</f>
        <v>Dinas Dikpora</v>
      </c>
      <c r="AB510" s="50">
        <f>15000*3</f>
        <v>45000</v>
      </c>
      <c r="AC510" s="50">
        <f>AB510+(AB510*10%)</f>
        <v>49500</v>
      </c>
      <c r="AD510" s="51" t="e">
        <f>AD506</f>
        <v>#REF!</v>
      </c>
      <c r="AE510" s="52" t="s">
        <v>81</v>
      </c>
      <c r="AF510" s="36" t="s">
        <v>156</v>
      </c>
    </row>
    <row r="511" spans="2:32" s="72" customFormat="1" ht="28.5" x14ac:dyDescent="0.3">
      <c r="B511" s="36"/>
      <c r="C511" s="36"/>
      <c r="D511" s="433"/>
      <c r="E511" s="33"/>
      <c r="F511" s="70"/>
      <c r="G511" s="70"/>
      <c r="H511" s="33"/>
      <c r="I511" s="70"/>
      <c r="J511" s="36"/>
      <c r="K511" s="374" t="s">
        <v>293</v>
      </c>
      <c r="L511" s="375" t="s">
        <v>291</v>
      </c>
      <c r="M511" s="362" t="s">
        <v>592</v>
      </c>
      <c r="N511" s="36" t="s">
        <v>744</v>
      </c>
      <c r="O511" s="36" t="s">
        <v>744</v>
      </c>
      <c r="P511" s="50"/>
      <c r="Q511" s="36" t="s">
        <v>744</v>
      </c>
      <c r="R511" s="36"/>
      <c r="S511" s="36" t="s">
        <v>744</v>
      </c>
      <c r="T511" s="36"/>
      <c r="U511" s="36" t="s">
        <v>744</v>
      </c>
      <c r="V511" s="36"/>
      <c r="W511" s="36" t="s">
        <v>744</v>
      </c>
      <c r="X511" s="36"/>
      <c r="Y511" s="36" t="s">
        <v>744</v>
      </c>
      <c r="Z511" s="37"/>
      <c r="AA511" s="52" t="s">
        <v>84</v>
      </c>
      <c r="AB511" s="50"/>
      <c r="AC511" s="50"/>
      <c r="AD511" s="51"/>
      <c r="AE511" s="52"/>
      <c r="AF511" s="36" t="s">
        <v>156</v>
      </c>
    </row>
    <row r="512" spans="2:32" s="72" customFormat="1" ht="28.5" x14ac:dyDescent="0.3">
      <c r="B512" s="36"/>
      <c r="C512" s="36"/>
      <c r="D512" s="433"/>
      <c r="E512" s="33"/>
      <c r="F512" s="70"/>
      <c r="G512" s="70"/>
      <c r="H512" s="33"/>
      <c r="I512" s="70"/>
      <c r="J512" s="36"/>
      <c r="K512" s="37"/>
      <c r="L512" s="375" t="s">
        <v>291</v>
      </c>
      <c r="M512" s="362" t="s">
        <v>745</v>
      </c>
      <c r="N512" s="36" t="s">
        <v>744</v>
      </c>
      <c r="O512" s="36" t="s">
        <v>744</v>
      </c>
      <c r="P512" s="50"/>
      <c r="Q512" s="36" t="s">
        <v>744</v>
      </c>
      <c r="R512" s="36"/>
      <c r="S512" s="36" t="s">
        <v>744</v>
      </c>
      <c r="T512" s="36"/>
      <c r="U512" s="36" t="s">
        <v>744</v>
      </c>
      <c r="V512" s="36"/>
      <c r="W512" s="36" t="s">
        <v>744</v>
      </c>
      <c r="X512" s="36"/>
      <c r="Y512" s="36" t="s">
        <v>744</v>
      </c>
      <c r="Z512" s="37"/>
      <c r="AA512" s="52" t="s">
        <v>84</v>
      </c>
      <c r="AB512" s="50">
        <f>14*7500</f>
        <v>105000</v>
      </c>
      <c r="AC512" s="50">
        <f>AB512+(AB512*10%)</f>
        <v>115500</v>
      </c>
      <c r="AD512" s="51" t="e">
        <f>AD510</f>
        <v>#REF!</v>
      </c>
      <c r="AE512" s="52" t="s">
        <v>81</v>
      </c>
      <c r="AF512" s="36"/>
    </row>
    <row r="513" spans="2:32" s="72" customFormat="1" ht="28.5" x14ac:dyDescent="0.3">
      <c r="B513" s="36"/>
      <c r="C513" s="36"/>
      <c r="D513" s="433"/>
      <c r="E513" s="33"/>
      <c r="F513" s="70"/>
      <c r="G513" s="70"/>
      <c r="H513" s="33"/>
      <c r="I513" s="70"/>
      <c r="J513" s="36"/>
      <c r="K513" s="37"/>
      <c r="L513" s="375" t="s">
        <v>291</v>
      </c>
      <c r="M513" s="362" t="s">
        <v>746</v>
      </c>
      <c r="N513" s="36" t="s">
        <v>1148</v>
      </c>
      <c r="O513" s="36" t="s">
        <v>1148</v>
      </c>
      <c r="P513" s="50"/>
      <c r="Q513" s="36" t="s">
        <v>1148</v>
      </c>
      <c r="R513" s="36"/>
      <c r="S513" s="36" t="s">
        <v>1148</v>
      </c>
      <c r="T513" s="36"/>
      <c r="U513" s="36" t="s">
        <v>1148</v>
      </c>
      <c r="V513" s="36"/>
      <c r="W513" s="36" t="s">
        <v>1148</v>
      </c>
      <c r="X513" s="36"/>
      <c r="Y513" s="36" t="s">
        <v>1148</v>
      </c>
      <c r="Z513" s="37"/>
      <c r="AA513" s="52" t="s">
        <v>84</v>
      </c>
      <c r="AB513" s="50"/>
      <c r="AC513" s="50"/>
      <c r="AD513" s="51"/>
      <c r="AE513" s="52"/>
      <c r="AF513" s="36"/>
    </row>
    <row r="514" spans="2:32" s="72" customFormat="1" ht="28.5" x14ac:dyDescent="0.3">
      <c r="B514" s="36"/>
      <c r="C514" s="36"/>
      <c r="D514" s="433"/>
      <c r="E514" s="33"/>
      <c r="F514" s="33"/>
      <c r="G514" s="33"/>
      <c r="H514" s="33"/>
      <c r="I514" s="33"/>
      <c r="J514" s="36"/>
      <c r="K514" s="37"/>
      <c r="L514" s="375" t="s">
        <v>291</v>
      </c>
      <c r="M514" s="362" t="s">
        <v>748</v>
      </c>
      <c r="N514" s="36" t="s">
        <v>736</v>
      </c>
      <c r="O514" s="36" t="s">
        <v>736</v>
      </c>
      <c r="P514" s="50"/>
      <c r="Q514" s="36" t="s">
        <v>736</v>
      </c>
      <c r="R514" s="36"/>
      <c r="S514" s="36" t="s">
        <v>736</v>
      </c>
      <c r="T514" s="36"/>
      <c r="U514" s="36" t="s">
        <v>736</v>
      </c>
      <c r="V514" s="36"/>
      <c r="W514" s="36" t="s">
        <v>736</v>
      </c>
      <c r="X514" s="36"/>
      <c r="Y514" s="36" t="s">
        <v>736</v>
      </c>
      <c r="Z514" s="37"/>
      <c r="AA514" s="52" t="s">
        <v>84</v>
      </c>
      <c r="AB514" s="50">
        <f>15*7500</f>
        <v>112500</v>
      </c>
      <c r="AC514" s="50">
        <f>AB514+(AB514*20%)</f>
        <v>135000</v>
      </c>
      <c r="AD514" s="51" t="e">
        <f>AD510</f>
        <v>#REF!</v>
      </c>
      <c r="AE514" s="52" t="s">
        <v>81</v>
      </c>
      <c r="AF514" s="36"/>
    </row>
    <row r="515" spans="2:32" s="72" customFormat="1" ht="28.5" x14ac:dyDescent="0.3">
      <c r="B515" s="36"/>
      <c r="C515" s="36"/>
      <c r="D515" s="433"/>
      <c r="E515" s="33"/>
      <c r="F515" s="33"/>
      <c r="G515" s="33"/>
      <c r="H515" s="33"/>
      <c r="I515" s="33"/>
      <c r="J515" s="36"/>
      <c r="K515" s="37"/>
      <c r="L515" s="375" t="s">
        <v>291</v>
      </c>
      <c r="M515" s="362" t="s">
        <v>750</v>
      </c>
      <c r="N515" s="36" t="s">
        <v>1145</v>
      </c>
      <c r="O515" s="36" t="s">
        <v>1145</v>
      </c>
      <c r="P515" s="50"/>
      <c r="Q515" s="36" t="s">
        <v>1145</v>
      </c>
      <c r="R515" s="36"/>
      <c r="S515" s="36" t="s">
        <v>1145</v>
      </c>
      <c r="T515" s="36"/>
      <c r="U515" s="36" t="s">
        <v>1145</v>
      </c>
      <c r="V515" s="36"/>
      <c r="W515" s="36" t="s">
        <v>1145</v>
      </c>
      <c r="X515" s="36"/>
      <c r="Y515" s="36" t="s">
        <v>1145</v>
      </c>
      <c r="Z515" s="37"/>
      <c r="AA515" s="52" t="s">
        <v>84</v>
      </c>
      <c r="AB515" s="50"/>
      <c r="AC515" s="50"/>
      <c r="AD515" s="51"/>
      <c r="AE515" s="52"/>
      <c r="AF515" s="36"/>
    </row>
    <row r="516" spans="2:32" s="72" customFormat="1" ht="42.75" x14ac:dyDescent="0.3">
      <c r="B516" s="36"/>
      <c r="C516" s="36"/>
      <c r="D516" s="433"/>
      <c r="E516" s="33"/>
      <c r="F516" s="70"/>
      <c r="G516" s="70"/>
      <c r="H516" s="33"/>
      <c r="I516" s="70"/>
      <c r="J516" s="36"/>
      <c r="K516" s="37"/>
      <c r="L516" s="375" t="s">
        <v>291</v>
      </c>
      <c r="M516" s="362" t="s">
        <v>752</v>
      </c>
      <c r="N516" s="36" t="s">
        <v>1149</v>
      </c>
      <c r="O516" s="36" t="s">
        <v>1149</v>
      </c>
      <c r="P516" s="50"/>
      <c r="Q516" s="36" t="s">
        <v>1149</v>
      </c>
      <c r="R516" s="36"/>
      <c r="S516" s="36" t="s">
        <v>1149</v>
      </c>
      <c r="T516" s="36"/>
      <c r="U516" s="36" t="s">
        <v>1149</v>
      </c>
      <c r="V516" s="36"/>
      <c r="W516" s="36" t="s">
        <v>1149</v>
      </c>
      <c r="X516" s="36"/>
      <c r="Y516" s="36" t="s">
        <v>1149</v>
      </c>
      <c r="Z516" s="37"/>
      <c r="AA516" s="52" t="s">
        <v>66</v>
      </c>
      <c r="AB516" s="50">
        <f>6*3500</f>
        <v>21000</v>
      </c>
      <c r="AC516" s="50">
        <f>AB516+(AB516*10%)</f>
        <v>23100</v>
      </c>
      <c r="AD516" s="51" t="e">
        <f>AD553</f>
        <v>#REF!</v>
      </c>
      <c r="AE516" s="52" t="s">
        <v>81</v>
      </c>
      <c r="AF516" s="36" t="s">
        <v>156</v>
      </c>
    </row>
    <row r="517" spans="2:32" s="72" customFormat="1" ht="42.75" x14ac:dyDescent="0.3">
      <c r="B517" s="36"/>
      <c r="C517" s="36"/>
      <c r="D517" s="433"/>
      <c r="E517" s="33"/>
      <c r="F517" s="33"/>
      <c r="G517" s="33"/>
      <c r="H517" s="33"/>
      <c r="I517" s="33"/>
      <c r="J517" s="36"/>
      <c r="K517" s="37"/>
      <c r="L517" s="375" t="s">
        <v>291</v>
      </c>
      <c r="M517" s="362" t="s">
        <v>1286</v>
      </c>
      <c r="N517" s="36" t="s">
        <v>1150</v>
      </c>
      <c r="O517" s="36" t="s">
        <v>1150</v>
      </c>
      <c r="P517" s="50"/>
      <c r="Q517" s="36" t="s">
        <v>1150</v>
      </c>
      <c r="R517" s="36"/>
      <c r="S517" s="36" t="s">
        <v>1150</v>
      </c>
      <c r="T517" s="36"/>
      <c r="U517" s="36" t="s">
        <v>1150</v>
      </c>
      <c r="V517" s="36"/>
      <c r="W517" s="36" t="s">
        <v>1150</v>
      </c>
      <c r="X517" s="36"/>
      <c r="Y517" s="36" t="s">
        <v>1150</v>
      </c>
      <c r="Z517" s="37"/>
      <c r="AA517" s="52"/>
      <c r="AB517" s="50"/>
      <c r="AC517" s="50"/>
      <c r="AD517" s="51"/>
      <c r="AE517" s="52"/>
      <c r="AF517" s="36"/>
    </row>
    <row r="518" spans="2:32" s="72" customFormat="1" ht="28.5" x14ac:dyDescent="0.3">
      <c r="B518" s="36"/>
      <c r="C518" s="36"/>
      <c r="D518" s="433"/>
      <c r="E518" s="33"/>
      <c r="F518" s="33"/>
      <c r="G518" s="33"/>
      <c r="H518" s="33"/>
      <c r="I518" s="33"/>
      <c r="J518" s="36"/>
      <c r="K518" s="374" t="s">
        <v>294</v>
      </c>
      <c r="L518" s="375" t="s">
        <v>291</v>
      </c>
      <c r="M518" s="362" t="s">
        <v>1466</v>
      </c>
      <c r="N518" s="41">
        <v>1</v>
      </c>
      <c r="O518" s="41">
        <v>1</v>
      </c>
      <c r="P518" s="50"/>
      <c r="Q518" s="41">
        <v>1</v>
      </c>
      <c r="R518" s="36"/>
      <c r="S518" s="41">
        <v>1</v>
      </c>
      <c r="T518" s="36"/>
      <c r="U518" s="41">
        <v>1</v>
      </c>
      <c r="V518" s="36"/>
      <c r="W518" s="41">
        <v>1</v>
      </c>
      <c r="X518" s="36"/>
      <c r="Y518" s="41">
        <v>1</v>
      </c>
      <c r="Z518" s="37"/>
      <c r="AA518" s="52"/>
      <c r="AB518" s="50"/>
      <c r="AC518" s="50"/>
      <c r="AD518" s="51"/>
      <c r="AE518" s="52"/>
      <c r="AF518" s="36"/>
    </row>
    <row r="519" spans="2:32" s="72" customFormat="1" x14ac:dyDescent="0.3">
      <c r="B519" s="36"/>
      <c r="C519" s="36"/>
      <c r="D519" s="433"/>
      <c r="E519" s="33"/>
      <c r="F519" s="33"/>
      <c r="G519" s="33"/>
      <c r="H519" s="33"/>
      <c r="I519" s="33"/>
      <c r="J519" s="36"/>
      <c r="K519" s="374" t="s">
        <v>295</v>
      </c>
      <c r="L519" s="375" t="s">
        <v>291</v>
      </c>
      <c r="M519" s="384" t="s">
        <v>1435</v>
      </c>
      <c r="N519" s="36"/>
      <c r="O519" s="36"/>
      <c r="P519" s="50"/>
      <c r="Q519" s="36"/>
      <c r="R519" s="36"/>
      <c r="S519" s="36"/>
      <c r="T519" s="36"/>
      <c r="U519" s="36"/>
      <c r="V519" s="36"/>
      <c r="W519" s="36"/>
      <c r="X519" s="36"/>
      <c r="Y519" s="36"/>
      <c r="Z519" s="37"/>
      <c r="AA519" s="52"/>
      <c r="AB519" s="50"/>
      <c r="AC519" s="50"/>
      <c r="AD519" s="51"/>
      <c r="AE519" s="52"/>
      <c r="AF519" s="36"/>
    </row>
    <row r="520" spans="2:32" s="72" customFormat="1" x14ac:dyDescent="0.3">
      <c r="B520" s="92"/>
      <c r="C520" s="92"/>
      <c r="D520" s="445"/>
      <c r="E520" s="91"/>
      <c r="F520" s="91"/>
      <c r="G520" s="91"/>
      <c r="H520" s="91"/>
      <c r="I520" s="91"/>
      <c r="J520" s="92"/>
      <c r="K520" s="377" t="s">
        <v>297</v>
      </c>
      <c r="L520" s="378" t="s">
        <v>291</v>
      </c>
      <c r="M520" s="385" t="s">
        <v>1467</v>
      </c>
      <c r="N520" s="92"/>
      <c r="O520" s="92"/>
      <c r="P520" s="93"/>
      <c r="Q520" s="92"/>
      <c r="R520" s="92"/>
      <c r="S520" s="92"/>
      <c r="T520" s="92"/>
      <c r="U520" s="92"/>
      <c r="V520" s="92"/>
      <c r="W520" s="92"/>
      <c r="X520" s="92"/>
      <c r="Y520" s="92"/>
      <c r="Z520" s="101"/>
      <c r="AA520" s="95"/>
      <c r="AB520" s="93"/>
      <c r="AC520" s="93"/>
      <c r="AD520" s="94"/>
      <c r="AE520" s="95"/>
      <c r="AF520" s="92"/>
    </row>
    <row r="521" spans="2:32" s="72" customFormat="1" x14ac:dyDescent="0.3">
      <c r="B521" s="36"/>
      <c r="C521" s="36"/>
      <c r="D521" s="433"/>
      <c r="E521" s="33"/>
      <c r="F521" s="33"/>
      <c r="G521" s="33"/>
      <c r="H521" s="33"/>
      <c r="I521" s="33"/>
      <c r="J521" s="36"/>
      <c r="K521" s="37"/>
      <c r="L521" s="375"/>
      <c r="M521" s="362"/>
      <c r="N521" s="36"/>
      <c r="O521" s="36"/>
      <c r="P521" s="50"/>
      <c r="Q521" s="36"/>
      <c r="R521" s="36"/>
      <c r="S521" s="36"/>
      <c r="T521" s="36"/>
      <c r="U521" s="36"/>
      <c r="V521" s="36"/>
      <c r="W521" s="36"/>
      <c r="X521" s="36"/>
      <c r="Y521" s="36"/>
      <c r="Z521" s="37"/>
      <c r="AA521" s="52"/>
      <c r="AB521" s="50"/>
      <c r="AC521" s="50"/>
      <c r="AD521" s="51"/>
      <c r="AE521" s="52"/>
      <c r="AF521" s="36"/>
    </row>
    <row r="522" spans="2:32" s="72" customFormat="1" ht="28.5" x14ac:dyDescent="0.3">
      <c r="B522" s="36"/>
      <c r="C522" s="36"/>
      <c r="D522" s="433"/>
      <c r="E522" s="33">
        <v>1</v>
      </c>
      <c r="F522" s="70" t="s">
        <v>131</v>
      </c>
      <c r="G522" s="70" t="s">
        <v>131</v>
      </c>
      <c r="H522" s="33">
        <v>17</v>
      </c>
      <c r="I522" s="34">
        <v>5</v>
      </c>
      <c r="J522" s="36" t="s">
        <v>176</v>
      </c>
      <c r="K522" s="374" t="s">
        <v>290</v>
      </c>
      <c r="L522" s="375" t="s">
        <v>291</v>
      </c>
      <c r="M522" s="375" t="s">
        <v>292</v>
      </c>
      <c r="N522" s="36" t="s">
        <v>301</v>
      </c>
      <c r="O522" s="36" t="s">
        <v>301</v>
      </c>
      <c r="P522" s="50">
        <v>31179000</v>
      </c>
      <c r="Q522" s="36" t="s">
        <v>301</v>
      </c>
      <c r="R522" s="431">
        <f>P522+(P522*10%)</f>
        <v>34296900</v>
      </c>
      <c r="S522" s="36" t="s">
        <v>301</v>
      </c>
      <c r="T522" s="431">
        <f>R522+(R522*10%)</f>
        <v>37726590</v>
      </c>
      <c r="U522" s="36" t="s">
        <v>301</v>
      </c>
      <c r="V522" s="431">
        <f>T522+(T522*10%)</f>
        <v>41499249</v>
      </c>
      <c r="W522" s="36" t="s">
        <v>301</v>
      </c>
      <c r="X522" s="431">
        <f>V522+(V522*10%)</f>
        <v>45649173.899999999</v>
      </c>
      <c r="Y522" s="36" t="s">
        <v>301</v>
      </c>
      <c r="Z522" s="431">
        <f>X522+V522+T522+R522+P522</f>
        <v>190350912.90000001</v>
      </c>
      <c r="AA522" s="52" t="str">
        <f>AA516</f>
        <v>Dinas Dikpora</v>
      </c>
      <c r="AB522" s="50">
        <v>500000</v>
      </c>
      <c r="AC522" s="50">
        <f>AB522+(AB522*20%)</f>
        <v>600000</v>
      </c>
      <c r="AD522" s="51" t="e">
        <f>AD545</f>
        <v>#REF!</v>
      </c>
      <c r="AE522" s="52" t="s">
        <v>67</v>
      </c>
      <c r="AF522" s="36" t="s">
        <v>156</v>
      </c>
    </row>
    <row r="523" spans="2:32" s="72" customFormat="1" ht="28.5" x14ac:dyDescent="0.3">
      <c r="B523" s="36"/>
      <c r="C523" s="36"/>
      <c r="D523" s="433"/>
      <c r="E523" s="33"/>
      <c r="F523" s="33"/>
      <c r="G523" s="33"/>
      <c r="H523" s="33"/>
      <c r="I523" s="33"/>
      <c r="J523" s="36"/>
      <c r="K523" s="374" t="s">
        <v>293</v>
      </c>
      <c r="L523" s="375" t="s">
        <v>291</v>
      </c>
      <c r="M523" s="362" t="s">
        <v>1267</v>
      </c>
      <c r="N523" s="36" t="s">
        <v>1134</v>
      </c>
      <c r="O523" s="36" t="s">
        <v>1134</v>
      </c>
      <c r="P523" s="50"/>
      <c r="Q523" s="36" t="s">
        <v>1134</v>
      </c>
      <c r="R523" s="36"/>
      <c r="S523" s="36" t="s">
        <v>1134</v>
      </c>
      <c r="T523" s="36"/>
      <c r="U523" s="36" t="s">
        <v>1134</v>
      </c>
      <c r="V523" s="36"/>
      <c r="W523" s="36" t="s">
        <v>1134</v>
      </c>
      <c r="X523" s="36"/>
      <c r="Y523" s="36" t="s">
        <v>1134</v>
      </c>
      <c r="Z523" s="37"/>
      <c r="AA523" s="52"/>
      <c r="AB523" s="50"/>
      <c r="AC523" s="50"/>
      <c r="AD523" s="51"/>
      <c r="AE523" s="52"/>
      <c r="AF523" s="36"/>
    </row>
    <row r="524" spans="2:32" s="72" customFormat="1" ht="28.5" x14ac:dyDescent="0.3">
      <c r="B524" s="36"/>
      <c r="C524" s="36"/>
      <c r="D524" s="433"/>
      <c r="E524" s="33"/>
      <c r="F524" s="33"/>
      <c r="G524" s="33"/>
      <c r="H524" s="33"/>
      <c r="I524" s="33"/>
      <c r="J524" s="36"/>
      <c r="K524" s="37"/>
      <c r="L524" s="375" t="s">
        <v>291</v>
      </c>
      <c r="M524" s="362" t="s">
        <v>630</v>
      </c>
      <c r="N524" s="36" t="s">
        <v>744</v>
      </c>
      <c r="O524" s="36" t="s">
        <v>744</v>
      </c>
      <c r="P524" s="50"/>
      <c r="Q524" s="36" t="s">
        <v>744</v>
      </c>
      <c r="R524" s="36"/>
      <c r="S524" s="36" t="s">
        <v>744</v>
      </c>
      <c r="T524" s="36"/>
      <c r="U524" s="36" t="s">
        <v>744</v>
      </c>
      <c r="V524" s="36"/>
      <c r="W524" s="36" t="s">
        <v>744</v>
      </c>
      <c r="X524" s="36"/>
      <c r="Y524" s="36" t="s">
        <v>744</v>
      </c>
      <c r="Z524" s="37"/>
      <c r="AA524" s="52"/>
      <c r="AB524" s="50">
        <f>10000*12</f>
        <v>120000</v>
      </c>
      <c r="AC524" s="50">
        <f>AB524+(AB524*10%)</f>
        <v>132000</v>
      </c>
      <c r="AD524" s="51" t="s">
        <v>84</v>
      </c>
      <c r="AE524" s="52" t="s">
        <v>81</v>
      </c>
      <c r="AF524" s="36"/>
    </row>
    <row r="525" spans="2:32" s="72" customFormat="1" ht="28.5" x14ac:dyDescent="0.3">
      <c r="B525" s="36"/>
      <c r="C525" s="46"/>
      <c r="D525" s="444"/>
      <c r="E525" s="33"/>
      <c r="F525" s="33"/>
      <c r="G525" s="33"/>
      <c r="H525" s="33"/>
      <c r="I525" s="33"/>
      <c r="J525" s="36"/>
      <c r="K525" s="37"/>
      <c r="L525" s="375" t="s">
        <v>291</v>
      </c>
      <c r="M525" s="362" t="s">
        <v>1265</v>
      </c>
      <c r="N525" s="36" t="s">
        <v>1151</v>
      </c>
      <c r="O525" s="36" t="s">
        <v>1151</v>
      </c>
      <c r="P525" s="50"/>
      <c r="Q525" s="36" t="s">
        <v>1151</v>
      </c>
      <c r="R525" s="36"/>
      <c r="S525" s="36" t="s">
        <v>1151</v>
      </c>
      <c r="T525" s="36"/>
      <c r="U525" s="36" t="s">
        <v>1151</v>
      </c>
      <c r="V525" s="36"/>
      <c r="W525" s="36" t="s">
        <v>1151</v>
      </c>
      <c r="X525" s="36"/>
      <c r="Y525" s="36" t="s">
        <v>1151</v>
      </c>
      <c r="Z525" s="37"/>
      <c r="AA525" s="52"/>
      <c r="AB525" s="50">
        <v>640000</v>
      </c>
      <c r="AC525" s="50">
        <f t="shared" ref="AC525" si="23">AB525</f>
        <v>640000</v>
      </c>
      <c r="AD525" s="51" t="s">
        <v>84</v>
      </c>
      <c r="AE525" s="52" t="s">
        <v>81</v>
      </c>
      <c r="AF525" s="36"/>
    </row>
    <row r="526" spans="2:32" s="72" customFormat="1" ht="28.5" x14ac:dyDescent="0.3">
      <c r="B526" s="36"/>
      <c r="C526" s="46"/>
      <c r="D526" s="444"/>
      <c r="E526" s="33"/>
      <c r="F526" s="33"/>
      <c r="G526" s="33"/>
      <c r="H526" s="33"/>
      <c r="I526" s="33"/>
      <c r="J526" s="36"/>
      <c r="K526" s="37"/>
      <c r="L526" s="375" t="s">
        <v>291</v>
      </c>
      <c r="M526" s="362" t="s">
        <v>770</v>
      </c>
      <c r="N526" s="36" t="s">
        <v>1152</v>
      </c>
      <c r="O526" s="36" t="s">
        <v>1152</v>
      </c>
      <c r="P526" s="50"/>
      <c r="Q526" s="36" t="s">
        <v>1152</v>
      </c>
      <c r="R526" s="36"/>
      <c r="S526" s="36" t="s">
        <v>1152</v>
      </c>
      <c r="T526" s="36"/>
      <c r="U526" s="36" t="s">
        <v>1152</v>
      </c>
      <c r="V526" s="36"/>
      <c r="W526" s="36" t="s">
        <v>1152</v>
      </c>
      <c r="X526" s="36"/>
      <c r="Y526" s="36" t="s">
        <v>1152</v>
      </c>
      <c r="Z526" s="37"/>
      <c r="AA526" s="52"/>
      <c r="AB526" s="50">
        <f>15000*12</f>
        <v>180000</v>
      </c>
      <c r="AC526" s="50">
        <f>AB526</f>
        <v>180000</v>
      </c>
      <c r="AD526" s="51" t="s">
        <v>84</v>
      </c>
      <c r="AE526" s="52" t="s">
        <v>81</v>
      </c>
      <c r="AF526" s="36"/>
    </row>
    <row r="527" spans="2:32" s="72" customFormat="1" ht="28.5" x14ac:dyDescent="0.3">
      <c r="B527" s="36"/>
      <c r="C527" s="36"/>
      <c r="D527" s="433"/>
      <c r="E527" s="33"/>
      <c r="F527" s="70"/>
      <c r="G527" s="70"/>
      <c r="H527" s="33"/>
      <c r="I527" s="70"/>
      <c r="J527" s="36"/>
      <c r="K527" s="37"/>
      <c r="L527" s="375" t="s">
        <v>291</v>
      </c>
      <c r="M527" s="362" t="s">
        <v>1268</v>
      </c>
      <c r="N527" s="36" t="s">
        <v>1134</v>
      </c>
      <c r="O527" s="36" t="s">
        <v>1134</v>
      </c>
      <c r="P527" s="50"/>
      <c r="Q527" s="36" t="s">
        <v>1134</v>
      </c>
      <c r="R527" s="36"/>
      <c r="S527" s="36" t="s">
        <v>1134</v>
      </c>
      <c r="T527" s="36"/>
      <c r="U527" s="36" t="s">
        <v>1134</v>
      </c>
      <c r="V527" s="36"/>
      <c r="W527" s="36" t="s">
        <v>1134</v>
      </c>
      <c r="X527" s="36"/>
      <c r="Y527" s="36" t="s">
        <v>1134</v>
      </c>
      <c r="Z527" s="37"/>
      <c r="AA527" s="52"/>
      <c r="AB527" s="50"/>
      <c r="AC527" s="50"/>
      <c r="AD527" s="51"/>
      <c r="AE527" s="52"/>
      <c r="AF527" s="36"/>
    </row>
    <row r="528" spans="2:32" s="72" customFormat="1" ht="28.5" x14ac:dyDescent="0.3">
      <c r="B528" s="36"/>
      <c r="C528" s="36"/>
      <c r="D528" s="433"/>
      <c r="E528" s="33"/>
      <c r="F528" s="33"/>
      <c r="G528" s="33"/>
      <c r="H528" s="33"/>
      <c r="I528" s="33"/>
      <c r="J528" s="36"/>
      <c r="K528" s="37"/>
      <c r="L528" s="375" t="s">
        <v>291</v>
      </c>
      <c r="M528" s="362" t="s">
        <v>772</v>
      </c>
      <c r="N528" s="36" t="s">
        <v>1153</v>
      </c>
      <c r="O528" s="36" t="s">
        <v>1153</v>
      </c>
      <c r="P528" s="50"/>
      <c r="Q528" s="36" t="s">
        <v>1153</v>
      </c>
      <c r="R528" s="36"/>
      <c r="S528" s="36" t="s">
        <v>1153</v>
      </c>
      <c r="T528" s="36"/>
      <c r="U528" s="36" t="s">
        <v>1153</v>
      </c>
      <c r="V528" s="36"/>
      <c r="W528" s="36" t="s">
        <v>1153</v>
      </c>
      <c r="X528" s="36"/>
      <c r="Y528" s="36" t="s">
        <v>1153</v>
      </c>
      <c r="Z528" s="37"/>
      <c r="AA528" s="52"/>
      <c r="AB528" s="50"/>
      <c r="AC528" s="50"/>
      <c r="AD528" s="51"/>
      <c r="AE528" s="52"/>
      <c r="AF528" s="36"/>
    </row>
    <row r="529" spans="2:32" s="72" customFormat="1" ht="28.5" x14ac:dyDescent="0.3">
      <c r="B529" s="36"/>
      <c r="C529" s="36"/>
      <c r="D529" s="433"/>
      <c r="E529" s="33"/>
      <c r="F529" s="33"/>
      <c r="G529" s="33"/>
      <c r="H529" s="33"/>
      <c r="I529" s="33"/>
      <c r="J529" s="36"/>
      <c r="K529" s="374" t="s">
        <v>294</v>
      </c>
      <c r="L529" s="375" t="s">
        <v>291</v>
      </c>
      <c r="M529" s="362" t="s">
        <v>1468</v>
      </c>
      <c r="N529" s="41">
        <v>1</v>
      </c>
      <c r="O529" s="41">
        <v>1</v>
      </c>
      <c r="P529" s="50"/>
      <c r="Q529" s="41">
        <v>1</v>
      </c>
      <c r="R529" s="36"/>
      <c r="S529" s="41">
        <v>1</v>
      </c>
      <c r="T529" s="36"/>
      <c r="U529" s="41">
        <v>1</v>
      </c>
      <c r="V529" s="36"/>
      <c r="W529" s="41">
        <v>1</v>
      </c>
      <c r="X529" s="36"/>
      <c r="Y529" s="41">
        <v>1</v>
      </c>
      <c r="Z529" s="37"/>
      <c r="AA529" s="52"/>
      <c r="AB529" s="50"/>
      <c r="AC529" s="50"/>
      <c r="AD529" s="51"/>
      <c r="AE529" s="52"/>
      <c r="AF529" s="36"/>
    </row>
    <row r="530" spans="2:32" s="72" customFormat="1" x14ac:dyDescent="0.3">
      <c r="B530" s="36"/>
      <c r="C530" s="36"/>
      <c r="D530" s="433"/>
      <c r="E530" s="33"/>
      <c r="F530" s="33"/>
      <c r="G530" s="33"/>
      <c r="H530" s="33"/>
      <c r="I530" s="33"/>
      <c r="J530" s="36"/>
      <c r="K530" s="374" t="s">
        <v>295</v>
      </c>
      <c r="L530" s="375" t="s">
        <v>291</v>
      </c>
      <c r="M530" s="384" t="s">
        <v>1435</v>
      </c>
      <c r="N530" s="36"/>
      <c r="O530" s="36"/>
      <c r="P530" s="50"/>
      <c r="Q530" s="36"/>
      <c r="R530" s="36"/>
      <c r="S530" s="36"/>
      <c r="T530" s="36"/>
      <c r="U530" s="36"/>
      <c r="V530" s="36"/>
      <c r="W530" s="36"/>
      <c r="X530" s="36"/>
      <c r="Y530" s="36"/>
      <c r="Z530" s="37"/>
      <c r="AA530" s="52"/>
      <c r="AB530" s="50"/>
      <c r="AC530" s="50"/>
      <c r="AD530" s="51"/>
      <c r="AE530" s="52"/>
      <c r="AF530" s="36"/>
    </row>
    <row r="531" spans="2:32" s="72" customFormat="1" x14ac:dyDescent="0.3">
      <c r="B531" s="92"/>
      <c r="C531" s="92"/>
      <c r="D531" s="445"/>
      <c r="E531" s="91"/>
      <c r="F531" s="91"/>
      <c r="G531" s="91"/>
      <c r="H531" s="91"/>
      <c r="I531" s="91"/>
      <c r="J531" s="92"/>
      <c r="K531" s="377" t="s">
        <v>297</v>
      </c>
      <c r="L531" s="378" t="s">
        <v>291</v>
      </c>
      <c r="M531" s="385" t="s">
        <v>1433</v>
      </c>
      <c r="N531" s="92"/>
      <c r="O531" s="92"/>
      <c r="P531" s="93"/>
      <c r="Q531" s="92"/>
      <c r="R531" s="92"/>
      <c r="S531" s="92"/>
      <c r="T531" s="92"/>
      <c r="U531" s="92"/>
      <c r="V531" s="92"/>
      <c r="W531" s="92"/>
      <c r="X531" s="92"/>
      <c r="Y531" s="92"/>
      <c r="Z531" s="101"/>
      <c r="AA531" s="95"/>
      <c r="AB531" s="93"/>
      <c r="AC531" s="93"/>
      <c r="AD531" s="94"/>
      <c r="AE531" s="95"/>
      <c r="AF531" s="92"/>
    </row>
    <row r="532" spans="2:32" s="72" customFormat="1" x14ac:dyDescent="0.3">
      <c r="B532" s="36"/>
      <c r="C532" s="36"/>
      <c r="D532" s="433"/>
      <c r="E532" s="33"/>
      <c r="F532" s="33"/>
      <c r="G532" s="33"/>
      <c r="H532" s="33"/>
      <c r="I532" s="33"/>
      <c r="J532" s="36"/>
      <c r="K532" s="37"/>
      <c r="L532" s="375"/>
      <c r="M532" s="362"/>
      <c r="N532" s="36"/>
      <c r="O532" s="36"/>
      <c r="P532" s="50"/>
      <c r="Q532" s="36"/>
      <c r="R532" s="36"/>
      <c r="S532" s="36"/>
      <c r="T532" s="36"/>
      <c r="U532" s="36"/>
      <c r="V532" s="36"/>
      <c r="W532" s="36"/>
      <c r="X532" s="36"/>
      <c r="Y532" s="36"/>
      <c r="Z532" s="37"/>
      <c r="AA532" s="52"/>
      <c r="AB532" s="50"/>
      <c r="AC532" s="50"/>
      <c r="AD532" s="51"/>
      <c r="AE532" s="52"/>
      <c r="AF532" s="36"/>
    </row>
    <row r="533" spans="2:32" s="72" customFormat="1" ht="28.5" x14ac:dyDescent="0.3">
      <c r="B533" s="36"/>
      <c r="C533" s="36"/>
      <c r="D533" s="433"/>
      <c r="E533" s="33">
        <v>1</v>
      </c>
      <c r="F533" s="70" t="s">
        <v>131</v>
      </c>
      <c r="G533" s="70" t="s">
        <v>131</v>
      </c>
      <c r="H533" s="33">
        <v>17</v>
      </c>
      <c r="I533" s="34">
        <v>7</v>
      </c>
      <c r="J533" s="36" t="s">
        <v>177</v>
      </c>
      <c r="K533" s="374" t="s">
        <v>290</v>
      </c>
      <c r="L533" s="375" t="s">
        <v>291</v>
      </c>
      <c r="M533" s="375" t="s">
        <v>292</v>
      </c>
      <c r="N533" s="36" t="s">
        <v>301</v>
      </c>
      <c r="O533" s="36" t="s">
        <v>301</v>
      </c>
      <c r="P533" s="50">
        <v>68635000</v>
      </c>
      <c r="Q533" s="36" t="s">
        <v>301</v>
      </c>
      <c r="R533" s="431">
        <f>P533+(P533*10%)</f>
        <v>75498500</v>
      </c>
      <c r="S533" s="36" t="s">
        <v>301</v>
      </c>
      <c r="T533" s="431">
        <f>R533+(R533*10%)</f>
        <v>83048350</v>
      </c>
      <c r="U533" s="36" t="s">
        <v>301</v>
      </c>
      <c r="V533" s="431">
        <f>T533+(T533*10%)</f>
        <v>91353185</v>
      </c>
      <c r="W533" s="36" t="s">
        <v>301</v>
      </c>
      <c r="X533" s="431">
        <f>V533+(V533*10%)</f>
        <v>100488503.5</v>
      </c>
      <c r="Y533" s="36" t="s">
        <v>301</v>
      </c>
      <c r="Z533" s="431">
        <f>X533+V533+T533+R533+P533</f>
        <v>419023538.5</v>
      </c>
      <c r="AA533" s="52" t="s">
        <v>66</v>
      </c>
      <c r="AB533" s="50">
        <f>3000*12</f>
        <v>36000</v>
      </c>
      <c r="AC533" s="50">
        <f>AB533+(AB533*10%)-400</f>
        <v>39200</v>
      </c>
      <c r="AD533" s="51" t="e">
        <f>AD516</f>
        <v>#REF!</v>
      </c>
      <c r="AE533" s="52" t="s">
        <v>81</v>
      </c>
      <c r="AF533" s="36" t="s">
        <v>66</v>
      </c>
    </row>
    <row r="534" spans="2:32" s="72" customFormat="1" ht="28.5" x14ac:dyDescent="0.3">
      <c r="B534" s="36"/>
      <c r="C534" s="36"/>
      <c r="D534" s="433"/>
      <c r="E534" s="33"/>
      <c r="F534" s="33"/>
      <c r="G534" s="33"/>
      <c r="H534" s="33"/>
      <c r="I534" s="33"/>
      <c r="J534" s="36"/>
      <c r="K534" s="374" t="s">
        <v>293</v>
      </c>
      <c r="L534" s="375" t="s">
        <v>291</v>
      </c>
      <c r="M534" s="362" t="s">
        <v>1287</v>
      </c>
      <c r="N534" s="36" t="s">
        <v>775</v>
      </c>
      <c r="O534" s="36" t="s">
        <v>775</v>
      </c>
      <c r="P534" s="50"/>
      <c r="Q534" s="36" t="s">
        <v>775</v>
      </c>
      <c r="R534" s="36"/>
      <c r="S534" s="36" t="s">
        <v>775</v>
      </c>
      <c r="T534" s="36"/>
      <c r="U534" s="36" t="s">
        <v>775</v>
      </c>
      <c r="V534" s="36"/>
      <c r="W534" s="36" t="s">
        <v>775</v>
      </c>
      <c r="X534" s="36"/>
      <c r="Y534" s="36" t="s">
        <v>775</v>
      </c>
      <c r="Z534" s="37"/>
      <c r="AA534" s="52"/>
      <c r="AB534" s="50"/>
      <c r="AC534" s="50"/>
      <c r="AD534" s="51"/>
      <c r="AE534" s="52"/>
      <c r="AF534" s="36"/>
    </row>
    <row r="535" spans="2:32" s="72" customFormat="1" ht="42.75" x14ac:dyDescent="0.3">
      <c r="B535" s="36"/>
      <c r="C535" s="36"/>
      <c r="D535" s="433"/>
      <c r="E535" s="33"/>
      <c r="F535" s="33"/>
      <c r="G535" s="33"/>
      <c r="H535" s="33"/>
      <c r="I535" s="33"/>
      <c r="J535" s="36"/>
      <c r="K535" s="374" t="s">
        <v>294</v>
      </c>
      <c r="L535" s="375" t="s">
        <v>291</v>
      </c>
      <c r="M535" s="362" t="s">
        <v>1469</v>
      </c>
      <c r="N535" s="41">
        <v>1</v>
      </c>
      <c r="O535" s="41">
        <v>1</v>
      </c>
      <c r="P535" s="50"/>
      <c r="Q535" s="41">
        <v>1</v>
      </c>
      <c r="R535" s="36"/>
      <c r="S535" s="41">
        <v>1</v>
      </c>
      <c r="T535" s="36"/>
      <c r="U535" s="41">
        <v>1</v>
      </c>
      <c r="V535" s="36"/>
      <c r="W535" s="41">
        <v>1</v>
      </c>
      <c r="X535" s="36"/>
      <c r="Y535" s="41">
        <v>1</v>
      </c>
      <c r="Z535" s="37"/>
      <c r="AA535" s="52"/>
      <c r="AB535" s="50"/>
      <c r="AC535" s="50"/>
      <c r="AD535" s="51"/>
      <c r="AE535" s="52"/>
      <c r="AF535" s="36"/>
    </row>
    <row r="536" spans="2:32" s="72" customFormat="1" x14ac:dyDescent="0.3">
      <c r="B536" s="36"/>
      <c r="C536" s="36"/>
      <c r="D536" s="433"/>
      <c r="E536" s="33"/>
      <c r="F536" s="33"/>
      <c r="G536" s="33"/>
      <c r="H536" s="33"/>
      <c r="I536" s="33"/>
      <c r="J536" s="36"/>
      <c r="K536" s="374" t="s">
        <v>295</v>
      </c>
      <c r="L536" s="375" t="s">
        <v>291</v>
      </c>
      <c r="M536" s="415" t="s">
        <v>689</v>
      </c>
      <c r="N536" s="417"/>
      <c r="O536" s="417"/>
      <c r="P536" s="50"/>
      <c r="Q536" s="417"/>
      <c r="R536" s="36"/>
      <c r="S536" s="417"/>
      <c r="T536" s="36"/>
      <c r="U536" s="417"/>
      <c r="V536" s="36"/>
      <c r="W536" s="417"/>
      <c r="X536" s="36"/>
      <c r="Y536" s="417"/>
      <c r="Z536" s="37"/>
      <c r="AA536" s="52"/>
      <c r="AB536" s="50"/>
      <c r="AC536" s="50"/>
      <c r="AD536" s="51"/>
      <c r="AE536" s="52"/>
      <c r="AF536" s="36"/>
    </row>
    <row r="537" spans="2:32" s="72" customFormat="1" x14ac:dyDescent="0.3">
      <c r="B537" s="92"/>
      <c r="C537" s="92"/>
      <c r="D537" s="445"/>
      <c r="E537" s="91"/>
      <c r="F537" s="91"/>
      <c r="G537" s="91"/>
      <c r="H537" s="91"/>
      <c r="I537" s="91"/>
      <c r="J537" s="92"/>
      <c r="K537" s="377" t="s">
        <v>297</v>
      </c>
      <c r="L537" s="378" t="s">
        <v>291</v>
      </c>
      <c r="M537" s="401" t="s">
        <v>501</v>
      </c>
      <c r="N537" s="403"/>
      <c r="O537" s="403"/>
      <c r="P537" s="93"/>
      <c r="Q537" s="403"/>
      <c r="R537" s="92"/>
      <c r="S537" s="403"/>
      <c r="T537" s="92"/>
      <c r="U537" s="403"/>
      <c r="V537" s="92"/>
      <c r="W537" s="403"/>
      <c r="X537" s="92"/>
      <c r="Y537" s="403"/>
      <c r="Z537" s="101"/>
      <c r="AA537" s="95"/>
      <c r="AB537" s="93"/>
      <c r="AC537" s="93"/>
      <c r="AD537" s="94"/>
      <c r="AE537" s="95"/>
      <c r="AF537" s="92"/>
    </row>
    <row r="538" spans="2:32" s="72" customFormat="1" x14ac:dyDescent="0.3">
      <c r="B538" s="36"/>
      <c r="C538" s="36"/>
      <c r="D538" s="433"/>
      <c r="E538" s="33"/>
      <c r="F538" s="33"/>
      <c r="G538" s="33"/>
      <c r="H538" s="33"/>
      <c r="I538" s="33"/>
      <c r="J538" s="36"/>
      <c r="K538" s="374"/>
      <c r="L538" s="375"/>
      <c r="M538" s="362"/>
      <c r="N538" s="36"/>
      <c r="O538" s="36"/>
      <c r="P538" s="50"/>
      <c r="Q538" s="36"/>
      <c r="R538" s="36"/>
      <c r="S538" s="36"/>
      <c r="T538" s="36"/>
      <c r="U538" s="36"/>
      <c r="V538" s="36"/>
      <c r="W538" s="36"/>
      <c r="X538" s="36"/>
      <c r="Y538" s="36"/>
      <c r="Z538" s="37"/>
      <c r="AA538" s="52"/>
      <c r="AB538" s="50"/>
      <c r="AC538" s="50"/>
      <c r="AD538" s="51"/>
      <c r="AE538" s="52"/>
      <c r="AF538" s="36"/>
    </row>
    <row r="539" spans="2:32" s="72" customFormat="1" ht="28.5" x14ac:dyDescent="0.3">
      <c r="B539" s="36"/>
      <c r="C539" s="36"/>
      <c r="D539" s="433"/>
      <c r="E539" s="33">
        <v>1</v>
      </c>
      <c r="F539" s="70" t="s">
        <v>131</v>
      </c>
      <c r="G539" s="70" t="s">
        <v>131</v>
      </c>
      <c r="H539" s="33">
        <v>17</v>
      </c>
      <c r="I539" s="34">
        <v>8</v>
      </c>
      <c r="J539" s="36" t="s">
        <v>178</v>
      </c>
      <c r="K539" s="374" t="s">
        <v>290</v>
      </c>
      <c r="L539" s="375" t="s">
        <v>291</v>
      </c>
      <c r="M539" s="375" t="s">
        <v>292</v>
      </c>
      <c r="N539" s="36" t="s">
        <v>301</v>
      </c>
      <c r="O539" s="36" t="s">
        <v>301</v>
      </c>
      <c r="P539" s="50">
        <v>26650000</v>
      </c>
      <c r="Q539" s="36" t="s">
        <v>301</v>
      </c>
      <c r="R539" s="431">
        <f>P539+(P539*10%)</f>
        <v>29315000</v>
      </c>
      <c r="S539" s="36" t="s">
        <v>301</v>
      </c>
      <c r="T539" s="431">
        <f>R539+(R539*10%)</f>
        <v>32246500</v>
      </c>
      <c r="U539" s="36" t="s">
        <v>301</v>
      </c>
      <c r="V539" s="431">
        <f>T539+(T539*10%)</f>
        <v>35471150</v>
      </c>
      <c r="W539" s="36" t="s">
        <v>301</v>
      </c>
      <c r="X539" s="431">
        <f>V539+(V539*10%)</f>
        <v>39018265</v>
      </c>
      <c r="Y539" s="36" t="s">
        <v>301</v>
      </c>
      <c r="Z539" s="431">
        <f>X539+V539+T539+R539+P539</f>
        <v>162700915</v>
      </c>
      <c r="AA539" s="52" t="str">
        <f>AA533</f>
        <v>Dinas Dikpora</v>
      </c>
      <c r="AB539" s="50">
        <f>7*8000</f>
        <v>56000</v>
      </c>
      <c r="AC539" s="50">
        <f>AB539+(AB539*20%)</f>
        <v>67200</v>
      </c>
      <c r="AD539" s="51" t="e">
        <f>#REF!</f>
        <v>#REF!</v>
      </c>
      <c r="AE539" s="52" t="s">
        <v>81</v>
      </c>
      <c r="AF539" s="36" t="s">
        <v>66</v>
      </c>
    </row>
    <row r="540" spans="2:32" s="72" customFormat="1" ht="28.5" x14ac:dyDescent="0.3">
      <c r="B540" s="36"/>
      <c r="C540" s="36"/>
      <c r="D540" s="433"/>
      <c r="E540" s="33"/>
      <c r="F540" s="33"/>
      <c r="G540" s="33"/>
      <c r="H540" s="33"/>
      <c r="I540" s="33"/>
      <c r="J540" s="36"/>
      <c r="K540" s="374" t="s">
        <v>293</v>
      </c>
      <c r="L540" s="375" t="s">
        <v>291</v>
      </c>
      <c r="M540" s="362" t="s">
        <v>1288</v>
      </c>
      <c r="N540" s="36" t="s">
        <v>1154</v>
      </c>
      <c r="O540" s="36" t="s">
        <v>1154</v>
      </c>
      <c r="P540" s="50"/>
      <c r="Q540" s="36" t="s">
        <v>1154</v>
      </c>
      <c r="R540" s="36"/>
      <c r="S540" s="36" t="s">
        <v>1154</v>
      </c>
      <c r="T540" s="36"/>
      <c r="U540" s="36" t="s">
        <v>1154</v>
      </c>
      <c r="V540" s="36"/>
      <c r="W540" s="36" t="s">
        <v>1154</v>
      </c>
      <c r="X540" s="36"/>
      <c r="Y540" s="36" t="s">
        <v>1154</v>
      </c>
      <c r="Z540" s="37"/>
      <c r="AA540" s="52"/>
      <c r="AB540" s="50"/>
      <c r="AC540" s="50"/>
      <c r="AD540" s="51"/>
      <c r="AE540" s="52"/>
      <c r="AF540" s="36"/>
    </row>
    <row r="541" spans="2:32" s="72" customFormat="1" ht="28.5" x14ac:dyDescent="0.3">
      <c r="B541" s="36"/>
      <c r="C541" s="36"/>
      <c r="D541" s="433"/>
      <c r="E541" s="33"/>
      <c r="F541" s="33"/>
      <c r="G541" s="33"/>
      <c r="H541" s="33"/>
      <c r="I541" s="33"/>
      <c r="J541" s="36"/>
      <c r="K541" s="374" t="s">
        <v>294</v>
      </c>
      <c r="L541" s="375" t="s">
        <v>291</v>
      </c>
      <c r="M541" s="362" t="s">
        <v>819</v>
      </c>
      <c r="N541" s="41">
        <v>1</v>
      </c>
      <c r="O541" s="41">
        <v>1</v>
      </c>
      <c r="P541" s="50"/>
      <c r="Q541" s="41">
        <v>1</v>
      </c>
      <c r="R541" s="36"/>
      <c r="S541" s="41">
        <v>1</v>
      </c>
      <c r="T541" s="36"/>
      <c r="U541" s="41">
        <v>1</v>
      </c>
      <c r="V541" s="36"/>
      <c r="W541" s="41">
        <v>1</v>
      </c>
      <c r="X541" s="36"/>
      <c r="Y541" s="41">
        <v>1</v>
      </c>
      <c r="Z541" s="37"/>
      <c r="AA541" s="52"/>
      <c r="AB541" s="50"/>
      <c r="AC541" s="50"/>
      <c r="AD541" s="51"/>
      <c r="AE541" s="52"/>
      <c r="AF541" s="36"/>
    </row>
    <row r="542" spans="2:32" s="72" customFormat="1" ht="42.75" x14ac:dyDescent="0.3">
      <c r="B542" s="36"/>
      <c r="C542" s="36"/>
      <c r="D542" s="433"/>
      <c r="E542" s="33"/>
      <c r="F542" s="33"/>
      <c r="G542" s="33"/>
      <c r="H542" s="33"/>
      <c r="I542" s="33"/>
      <c r="J542" s="36"/>
      <c r="K542" s="374" t="s">
        <v>295</v>
      </c>
      <c r="L542" s="375" t="s">
        <v>291</v>
      </c>
      <c r="M542" s="461" t="s">
        <v>1470</v>
      </c>
      <c r="N542" s="36"/>
      <c r="O542" s="36"/>
      <c r="P542" s="50"/>
      <c r="Q542" s="36"/>
      <c r="R542" s="36"/>
      <c r="S542" s="36"/>
      <c r="T542" s="36"/>
      <c r="U542" s="36"/>
      <c r="V542" s="36"/>
      <c r="W542" s="36"/>
      <c r="X542" s="36"/>
      <c r="Y542" s="36"/>
      <c r="Z542" s="37"/>
      <c r="AA542" s="52"/>
      <c r="AB542" s="50"/>
      <c r="AC542" s="50"/>
      <c r="AD542" s="51"/>
      <c r="AE542" s="52"/>
      <c r="AF542" s="36"/>
    </row>
    <row r="543" spans="2:32" s="72" customFormat="1" x14ac:dyDescent="0.3">
      <c r="B543" s="92"/>
      <c r="C543" s="92"/>
      <c r="D543" s="445"/>
      <c r="E543" s="91"/>
      <c r="F543" s="91"/>
      <c r="G543" s="91"/>
      <c r="H543" s="91"/>
      <c r="I543" s="91"/>
      <c r="J543" s="92"/>
      <c r="K543" s="377" t="s">
        <v>297</v>
      </c>
      <c r="L543" s="378" t="s">
        <v>291</v>
      </c>
      <c r="M543" s="385" t="s">
        <v>1471</v>
      </c>
      <c r="N543" s="92"/>
      <c r="O543" s="92"/>
      <c r="P543" s="93"/>
      <c r="Q543" s="92"/>
      <c r="R543" s="92"/>
      <c r="S543" s="92"/>
      <c r="T543" s="92"/>
      <c r="U543" s="92"/>
      <c r="V543" s="92"/>
      <c r="W543" s="92"/>
      <c r="X543" s="92"/>
      <c r="Y543" s="92"/>
      <c r="Z543" s="101"/>
      <c r="AA543" s="95"/>
      <c r="AB543" s="93"/>
      <c r="AC543" s="93"/>
      <c r="AD543" s="94"/>
      <c r="AE543" s="95"/>
      <c r="AF543" s="92"/>
    </row>
    <row r="544" spans="2:32" s="72" customFormat="1" x14ac:dyDescent="0.3">
      <c r="B544" s="36"/>
      <c r="C544" s="36"/>
      <c r="D544" s="433"/>
      <c r="E544" s="33"/>
      <c r="F544" s="33"/>
      <c r="G544" s="33"/>
      <c r="H544" s="33"/>
      <c r="I544" s="33"/>
      <c r="J544" s="36"/>
      <c r="K544" s="374"/>
      <c r="L544" s="375"/>
      <c r="M544" s="362"/>
      <c r="N544" s="36"/>
      <c r="O544" s="36"/>
      <c r="P544" s="50"/>
      <c r="Q544" s="36"/>
      <c r="R544" s="36"/>
      <c r="S544" s="36"/>
      <c r="T544" s="36"/>
      <c r="U544" s="36"/>
      <c r="V544" s="36"/>
      <c r="W544" s="36"/>
      <c r="X544" s="36"/>
      <c r="Y544" s="36"/>
      <c r="Z544" s="37"/>
      <c r="AA544" s="52"/>
      <c r="AB544" s="50"/>
      <c r="AC544" s="50"/>
      <c r="AD544" s="51"/>
      <c r="AE544" s="52"/>
      <c r="AF544" s="36"/>
    </row>
    <row r="545" spans="2:32" s="72" customFormat="1" ht="28.5" x14ac:dyDescent="0.3">
      <c r="B545" s="36"/>
      <c r="C545" s="36"/>
      <c r="D545" s="433"/>
      <c r="E545" s="33">
        <v>1</v>
      </c>
      <c r="F545" s="70" t="s">
        <v>131</v>
      </c>
      <c r="G545" s="70" t="s">
        <v>131</v>
      </c>
      <c r="H545" s="33">
        <v>17</v>
      </c>
      <c r="I545" s="33">
        <v>10</v>
      </c>
      <c r="J545" s="36" t="s">
        <v>179</v>
      </c>
      <c r="K545" s="374" t="s">
        <v>290</v>
      </c>
      <c r="L545" s="375" t="s">
        <v>291</v>
      </c>
      <c r="M545" s="375" t="s">
        <v>292</v>
      </c>
      <c r="N545" s="36" t="s">
        <v>301</v>
      </c>
      <c r="O545" s="36" t="s">
        <v>301</v>
      </c>
      <c r="P545" s="50">
        <v>458120000</v>
      </c>
      <c r="Q545" s="36" t="s">
        <v>301</v>
      </c>
      <c r="R545" s="431">
        <f>P545+(P545*10%)</f>
        <v>503932000</v>
      </c>
      <c r="S545" s="36" t="s">
        <v>301</v>
      </c>
      <c r="T545" s="431">
        <f>R545+(R545*10%)</f>
        <v>554325200</v>
      </c>
      <c r="U545" s="36" t="s">
        <v>301</v>
      </c>
      <c r="V545" s="431">
        <f>T545+(T545*10%)</f>
        <v>609757720</v>
      </c>
      <c r="W545" s="36" t="s">
        <v>301</v>
      </c>
      <c r="X545" s="431">
        <f>V545+(V545*10%)</f>
        <v>670733492</v>
      </c>
      <c r="Y545" s="36" t="s">
        <v>301</v>
      </c>
      <c r="Z545" s="431">
        <f>X545+V545+T545+R545+P545</f>
        <v>2796868412</v>
      </c>
      <c r="AA545" s="52" t="s">
        <v>66</v>
      </c>
      <c r="AB545" s="50">
        <f>25*3500</f>
        <v>87500</v>
      </c>
      <c r="AC545" s="50">
        <f>AB545+(AB545*20%)</f>
        <v>105000</v>
      </c>
      <c r="AD545" s="51" t="e">
        <f>AD533</f>
        <v>#REF!</v>
      </c>
      <c r="AE545" s="52" t="s">
        <v>81</v>
      </c>
      <c r="AF545" s="36" t="s">
        <v>180</v>
      </c>
    </row>
    <row r="546" spans="2:32" s="72" customFormat="1" ht="42.75" x14ac:dyDescent="0.3">
      <c r="B546" s="36"/>
      <c r="C546" s="36"/>
      <c r="D546" s="433"/>
      <c r="E546" s="33"/>
      <c r="F546" s="33"/>
      <c r="G546" s="33"/>
      <c r="H546" s="33"/>
      <c r="I546" s="33"/>
      <c r="J546" s="36"/>
      <c r="K546" s="374" t="s">
        <v>293</v>
      </c>
      <c r="L546" s="375" t="s">
        <v>291</v>
      </c>
      <c r="M546" s="362" t="s">
        <v>1289</v>
      </c>
      <c r="N546" s="36" t="s">
        <v>1155</v>
      </c>
      <c r="O546" s="36" t="s">
        <v>1155</v>
      </c>
      <c r="P546" s="50"/>
      <c r="Q546" s="36" t="s">
        <v>1155</v>
      </c>
      <c r="R546" s="36"/>
      <c r="S546" s="36" t="s">
        <v>1155</v>
      </c>
      <c r="T546" s="36"/>
      <c r="U546" s="36" t="s">
        <v>1155</v>
      </c>
      <c r="V546" s="36"/>
      <c r="W546" s="36" t="s">
        <v>1155</v>
      </c>
      <c r="X546" s="36"/>
      <c r="Y546" s="36" t="s">
        <v>1155</v>
      </c>
      <c r="Z546" s="37"/>
      <c r="AA546" s="52"/>
      <c r="AB546" s="50"/>
      <c r="AC546" s="50"/>
      <c r="AD546" s="51"/>
      <c r="AE546" s="52"/>
      <c r="AF546" s="36"/>
    </row>
    <row r="547" spans="2:32" s="72" customFormat="1" ht="28.5" x14ac:dyDescent="0.3">
      <c r="B547" s="36"/>
      <c r="C547" s="36"/>
      <c r="D547" s="433"/>
      <c r="E547" s="33"/>
      <c r="F547" s="33"/>
      <c r="G547" s="33"/>
      <c r="H547" s="33"/>
      <c r="I547" s="33"/>
      <c r="J547" s="36"/>
      <c r="K547" s="374" t="s">
        <v>294</v>
      </c>
      <c r="L547" s="375" t="s">
        <v>291</v>
      </c>
      <c r="M547" s="362" t="s">
        <v>1472</v>
      </c>
      <c r="N547" s="41">
        <v>1</v>
      </c>
      <c r="O547" s="41">
        <v>1</v>
      </c>
      <c r="P547" s="50"/>
      <c r="Q547" s="41">
        <v>1</v>
      </c>
      <c r="R547" s="36"/>
      <c r="S547" s="41">
        <v>1</v>
      </c>
      <c r="T547" s="36"/>
      <c r="U547" s="41">
        <v>1</v>
      </c>
      <c r="V547" s="36"/>
      <c r="W547" s="41">
        <v>1</v>
      </c>
      <c r="X547" s="36"/>
      <c r="Y547" s="41">
        <v>1</v>
      </c>
      <c r="Z547" s="37"/>
      <c r="AA547" s="52"/>
      <c r="AB547" s="50"/>
      <c r="AC547" s="50"/>
      <c r="AD547" s="51"/>
      <c r="AE547" s="52"/>
      <c r="AF547" s="36"/>
    </row>
    <row r="548" spans="2:32" s="72" customFormat="1" ht="28.5" x14ac:dyDescent="0.3">
      <c r="B548" s="36"/>
      <c r="C548" s="36"/>
      <c r="D548" s="433"/>
      <c r="E548" s="33"/>
      <c r="F548" s="33"/>
      <c r="G548" s="33"/>
      <c r="H548" s="33"/>
      <c r="I548" s="33"/>
      <c r="J548" s="36"/>
      <c r="K548" s="374" t="s">
        <v>295</v>
      </c>
      <c r="L548" s="375" t="s">
        <v>291</v>
      </c>
      <c r="M548" s="460" t="s">
        <v>1473</v>
      </c>
      <c r="N548" s="36"/>
      <c r="O548" s="36"/>
      <c r="P548" s="50"/>
      <c r="Q548" s="36"/>
      <c r="R548" s="36"/>
      <c r="S548" s="36"/>
      <c r="T548" s="36"/>
      <c r="U548" s="36"/>
      <c r="V548" s="36"/>
      <c r="W548" s="36"/>
      <c r="X548" s="36"/>
      <c r="Y548" s="36"/>
      <c r="Z548" s="37"/>
      <c r="AA548" s="52"/>
      <c r="AB548" s="50"/>
      <c r="AC548" s="50"/>
      <c r="AD548" s="51"/>
      <c r="AE548" s="52"/>
      <c r="AF548" s="36"/>
    </row>
    <row r="549" spans="2:32" s="72" customFormat="1" x14ac:dyDescent="0.3">
      <c r="B549" s="92"/>
      <c r="C549" s="92"/>
      <c r="D549" s="445"/>
      <c r="E549" s="91"/>
      <c r="F549" s="91"/>
      <c r="G549" s="91"/>
      <c r="H549" s="91"/>
      <c r="I549" s="91"/>
      <c r="J549" s="92"/>
      <c r="K549" s="377" t="s">
        <v>297</v>
      </c>
      <c r="L549" s="378" t="s">
        <v>291</v>
      </c>
      <c r="M549" s="385" t="s">
        <v>1474</v>
      </c>
      <c r="N549" s="92"/>
      <c r="O549" s="92"/>
      <c r="P549" s="93"/>
      <c r="Q549" s="92"/>
      <c r="R549" s="92"/>
      <c r="S549" s="92"/>
      <c r="T549" s="92"/>
      <c r="U549" s="92"/>
      <c r="V549" s="92"/>
      <c r="W549" s="92"/>
      <c r="X549" s="92"/>
      <c r="Y549" s="92"/>
      <c r="Z549" s="101"/>
      <c r="AA549" s="95"/>
      <c r="AB549" s="93"/>
      <c r="AC549" s="93"/>
      <c r="AD549" s="94"/>
      <c r="AE549" s="95"/>
      <c r="AF549" s="92"/>
    </row>
    <row r="550" spans="2:32" s="72" customFormat="1" x14ac:dyDescent="0.3">
      <c r="B550" s="36"/>
      <c r="C550" s="36"/>
      <c r="D550" s="433"/>
      <c r="E550" s="33"/>
      <c r="F550" s="33"/>
      <c r="G550" s="33"/>
      <c r="H550" s="33"/>
      <c r="I550" s="33"/>
      <c r="J550" s="36"/>
      <c r="K550" s="374"/>
      <c r="L550" s="375"/>
      <c r="M550" s="362"/>
      <c r="N550" s="36"/>
      <c r="O550" s="36"/>
      <c r="P550" s="50"/>
      <c r="Q550" s="36"/>
      <c r="R550" s="36"/>
      <c r="S550" s="36"/>
      <c r="T550" s="36"/>
      <c r="U550" s="36"/>
      <c r="V550" s="36"/>
      <c r="W550" s="36"/>
      <c r="X550" s="36"/>
      <c r="Y550" s="36"/>
      <c r="Z550" s="37"/>
      <c r="AA550" s="52"/>
      <c r="AB550" s="50"/>
      <c r="AC550" s="50"/>
      <c r="AD550" s="51"/>
      <c r="AE550" s="52"/>
      <c r="AF550" s="36"/>
    </row>
    <row r="551" spans="2:32" s="72" customFormat="1" ht="28.5" x14ac:dyDescent="0.3">
      <c r="B551" s="36"/>
      <c r="C551" s="36"/>
      <c r="D551" s="433"/>
      <c r="E551" s="33">
        <v>1</v>
      </c>
      <c r="F551" s="70" t="s">
        <v>131</v>
      </c>
      <c r="G551" s="70" t="s">
        <v>131</v>
      </c>
      <c r="H551" s="33">
        <v>17</v>
      </c>
      <c r="I551" s="33">
        <v>11</v>
      </c>
      <c r="J551" s="36" t="s">
        <v>1075</v>
      </c>
      <c r="K551" s="374" t="s">
        <v>290</v>
      </c>
      <c r="L551" s="375" t="s">
        <v>291</v>
      </c>
      <c r="M551" s="375" t="s">
        <v>292</v>
      </c>
      <c r="N551" s="36" t="s">
        <v>301</v>
      </c>
      <c r="O551" s="36" t="s">
        <v>301</v>
      </c>
      <c r="P551" s="50">
        <v>197452500</v>
      </c>
      <c r="Q551" s="36" t="s">
        <v>301</v>
      </c>
      <c r="R551" s="431">
        <f>P551+(P551*10%)</f>
        <v>217197750</v>
      </c>
      <c r="S551" s="36" t="s">
        <v>301</v>
      </c>
      <c r="T551" s="431">
        <f>R551+(R551*10%)</f>
        <v>238917525</v>
      </c>
      <c r="U551" s="36" t="s">
        <v>301</v>
      </c>
      <c r="V551" s="431">
        <f>T551+(T551*10%)</f>
        <v>262809277.5</v>
      </c>
      <c r="W551" s="36" t="s">
        <v>301</v>
      </c>
      <c r="X551" s="431">
        <f>V551+(V551*10%)</f>
        <v>289090205.25</v>
      </c>
      <c r="Y551" s="36" t="s">
        <v>301</v>
      </c>
      <c r="Z551" s="431">
        <f>X551+V551+T551+R551+P551</f>
        <v>1205467257.75</v>
      </c>
      <c r="AA551" s="52" t="s">
        <v>84</v>
      </c>
      <c r="AB551" s="50">
        <f>5*5000</f>
        <v>25000</v>
      </c>
      <c r="AC551" s="50">
        <f>AB551+(AB551*20%)</f>
        <v>30000</v>
      </c>
      <c r="AD551" s="51" t="e">
        <f>AD539</f>
        <v>#REF!</v>
      </c>
      <c r="AE551" s="52" t="s">
        <v>81</v>
      </c>
      <c r="AF551" s="36" t="s">
        <v>66</v>
      </c>
    </row>
    <row r="552" spans="2:32" s="72" customFormat="1" ht="28.5" x14ac:dyDescent="0.3">
      <c r="B552" s="36"/>
      <c r="C552" s="36"/>
      <c r="D552" s="433"/>
      <c r="E552" s="33"/>
      <c r="F552" s="33"/>
      <c r="G552" s="33"/>
      <c r="H552" s="33"/>
      <c r="I552" s="33"/>
      <c r="J552" s="36"/>
      <c r="K552" s="374" t="s">
        <v>293</v>
      </c>
      <c r="L552" s="375" t="s">
        <v>291</v>
      </c>
      <c r="M552" s="362" t="s">
        <v>1290</v>
      </c>
      <c r="N552" s="36" t="s">
        <v>693</v>
      </c>
      <c r="O552" s="36" t="s">
        <v>693</v>
      </c>
      <c r="P552" s="85"/>
      <c r="Q552" s="36" t="s">
        <v>693</v>
      </c>
      <c r="R552" s="36"/>
      <c r="S552" s="36" t="s">
        <v>693</v>
      </c>
      <c r="T552" s="36"/>
      <c r="U552" s="36" t="s">
        <v>693</v>
      </c>
      <c r="V552" s="36"/>
      <c r="W552" s="36" t="s">
        <v>693</v>
      </c>
      <c r="X552" s="36"/>
      <c r="Y552" s="36" t="s">
        <v>693</v>
      </c>
      <c r="Z552" s="37"/>
      <c r="AA552" s="52"/>
      <c r="AB552" s="50"/>
      <c r="AC552" s="50"/>
      <c r="AD552" s="51"/>
      <c r="AE552" s="52"/>
      <c r="AF552" s="36"/>
    </row>
    <row r="553" spans="2:32" s="72" customFormat="1" ht="42.75" x14ac:dyDescent="0.3">
      <c r="B553" s="36"/>
      <c r="C553" s="36"/>
      <c r="D553" s="433"/>
      <c r="E553" s="33"/>
      <c r="F553" s="33"/>
      <c r="G553" s="33"/>
      <c r="H553" s="33"/>
      <c r="I553" s="33"/>
      <c r="J553" s="36"/>
      <c r="K553" s="37"/>
      <c r="L553" s="375" t="s">
        <v>291</v>
      </c>
      <c r="M553" s="362" t="s">
        <v>1291</v>
      </c>
      <c r="N553" s="36" t="s">
        <v>1156</v>
      </c>
      <c r="O553" s="36" t="s">
        <v>1156</v>
      </c>
      <c r="P553" s="50"/>
      <c r="Q553" s="36" t="s">
        <v>1156</v>
      </c>
      <c r="R553" s="36"/>
      <c r="S553" s="36" t="s">
        <v>1156</v>
      </c>
      <c r="T553" s="36"/>
      <c r="U553" s="36" t="s">
        <v>1156</v>
      </c>
      <c r="V553" s="36"/>
      <c r="W553" s="36" t="s">
        <v>1156</v>
      </c>
      <c r="X553" s="36"/>
      <c r="Y553" s="36" t="s">
        <v>1156</v>
      </c>
      <c r="Z553" s="37"/>
      <c r="AA553" s="52" t="s">
        <v>84</v>
      </c>
      <c r="AB553" s="50">
        <f>1000*59</f>
        <v>59000</v>
      </c>
      <c r="AC553" s="50">
        <f>AB553+(AB553*10%)+100</f>
        <v>65000</v>
      </c>
      <c r="AD553" s="51" t="e">
        <f>AD510</f>
        <v>#REF!</v>
      </c>
      <c r="AE553" s="52" t="s">
        <v>81</v>
      </c>
      <c r="AF553" s="36"/>
    </row>
    <row r="554" spans="2:32" s="72" customFormat="1" ht="42.75" x14ac:dyDescent="0.3">
      <c r="B554" s="36"/>
      <c r="C554" s="36"/>
      <c r="D554" s="433"/>
      <c r="E554" s="33"/>
      <c r="F554" s="33"/>
      <c r="G554" s="33"/>
      <c r="H554" s="33"/>
      <c r="I554" s="33"/>
      <c r="J554" s="36"/>
      <c r="K554" s="37"/>
      <c r="L554" s="375" t="s">
        <v>291</v>
      </c>
      <c r="M554" s="362" t="s">
        <v>1292</v>
      </c>
      <c r="N554" s="36" t="s">
        <v>1157</v>
      </c>
      <c r="O554" s="36" t="s">
        <v>1157</v>
      </c>
      <c r="P554" s="50"/>
      <c r="Q554" s="36" t="s">
        <v>1157</v>
      </c>
      <c r="R554" s="36"/>
      <c r="S554" s="36" t="s">
        <v>1157</v>
      </c>
      <c r="T554" s="36"/>
      <c r="U554" s="36" t="s">
        <v>1157</v>
      </c>
      <c r="V554" s="36"/>
      <c r="W554" s="36" t="s">
        <v>1157</v>
      </c>
      <c r="X554" s="36"/>
      <c r="Y554" s="36" t="s">
        <v>1157</v>
      </c>
      <c r="Z554" s="37"/>
      <c r="AA554" s="52" t="s">
        <v>66</v>
      </c>
      <c r="AB554" s="50"/>
      <c r="AC554" s="50"/>
      <c r="AD554" s="51"/>
      <c r="AE554" s="52"/>
      <c r="AF554" s="36" t="s">
        <v>156</v>
      </c>
    </row>
    <row r="555" spans="2:32" s="72" customFormat="1" ht="57" x14ac:dyDescent="0.3">
      <c r="B555" s="36"/>
      <c r="C555" s="36"/>
      <c r="D555" s="433"/>
      <c r="E555" s="33"/>
      <c r="F555" s="33"/>
      <c r="G555" s="33"/>
      <c r="H555" s="33"/>
      <c r="I555" s="33"/>
      <c r="J555" s="36"/>
      <c r="K555" s="37"/>
      <c r="L555" s="375" t="s">
        <v>291</v>
      </c>
      <c r="M555" s="362" t="s">
        <v>448</v>
      </c>
      <c r="N555" s="36" t="s">
        <v>449</v>
      </c>
      <c r="O555" s="36" t="s">
        <v>449</v>
      </c>
      <c r="P555" s="50"/>
      <c r="Q555" s="36" t="s">
        <v>449</v>
      </c>
      <c r="R555" s="36"/>
      <c r="S555" s="36" t="s">
        <v>449</v>
      </c>
      <c r="T555" s="36"/>
      <c r="U555" s="36" t="s">
        <v>449</v>
      </c>
      <c r="V555" s="36"/>
      <c r="W555" s="36" t="s">
        <v>449</v>
      </c>
      <c r="X555" s="36"/>
      <c r="Y555" s="36" t="s">
        <v>449</v>
      </c>
      <c r="Z555" s="37"/>
      <c r="AA555" s="52" t="str">
        <f>AA554</f>
        <v>Dinas Dikpora</v>
      </c>
      <c r="AB555" s="50">
        <v>801988</v>
      </c>
      <c r="AC555" s="50">
        <f>AB555+(AB555*10%)</f>
        <v>882186.8</v>
      </c>
      <c r="AD555" s="51" t="e">
        <f>#REF!</f>
        <v>#REF!</v>
      </c>
      <c r="AE555" s="52" t="e">
        <f>#REF!</f>
        <v>#REF!</v>
      </c>
      <c r="AF555" s="36"/>
    </row>
    <row r="556" spans="2:32" s="72" customFormat="1" ht="28.5" x14ac:dyDescent="0.3">
      <c r="B556" s="36"/>
      <c r="C556" s="36"/>
      <c r="D556" s="433"/>
      <c r="E556" s="33"/>
      <c r="F556" s="33"/>
      <c r="G556" s="33"/>
      <c r="H556" s="33"/>
      <c r="I556" s="33"/>
      <c r="J556" s="36"/>
      <c r="K556" s="37"/>
      <c r="L556" s="375" t="s">
        <v>291</v>
      </c>
      <c r="M556" s="362" t="s">
        <v>1293</v>
      </c>
      <c r="N556" s="36" t="s">
        <v>747</v>
      </c>
      <c r="O556" s="36" t="s">
        <v>747</v>
      </c>
      <c r="P556" s="50"/>
      <c r="Q556" s="36" t="s">
        <v>747</v>
      </c>
      <c r="R556" s="36"/>
      <c r="S556" s="36" t="s">
        <v>747</v>
      </c>
      <c r="T556" s="36"/>
      <c r="U556" s="36" t="s">
        <v>747</v>
      </c>
      <c r="V556" s="36"/>
      <c r="W556" s="36" t="s">
        <v>747</v>
      </c>
      <c r="X556" s="36"/>
      <c r="Y556" s="36" t="s">
        <v>747</v>
      </c>
      <c r="Z556" s="37"/>
      <c r="AA556" s="52"/>
      <c r="AB556" s="50"/>
      <c r="AC556" s="50"/>
      <c r="AD556" s="51"/>
      <c r="AE556" s="52"/>
      <c r="AF556" s="36"/>
    </row>
    <row r="557" spans="2:32" s="72" customFormat="1" ht="42.75" x14ac:dyDescent="0.3">
      <c r="B557" s="36"/>
      <c r="C557" s="36"/>
      <c r="D557" s="433"/>
      <c r="E557" s="33"/>
      <c r="F557" s="33"/>
      <c r="G557" s="33"/>
      <c r="H557" s="33"/>
      <c r="I557" s="33"/>
      <c r="J557" s="36"/>
      <c r="K557" s="374" t="s">
        <v>294</v>
      </c>
      <c r="L557" s="375" t="s">
        <v>291</v>
      </c>
      <c r="M557" s="362" t="s">
        <v>1475</v>
      </c>
      <c r="N557" s="41">
        <v>1</v>
      </c>
      <c r="O557" s="41">
        <v>1</v>
      </c>
      <c r="P557" s="50"/>
      <c r="Q557" s="41">
        <v>1</v>
      </c>
      <c r="R557" s="36"/>
      <c r="S557" s="41">
        <v>1</v>
      </c>
      <c r="T557" s="36"/>
      <c r="U557" s="41">
        <v>1</v>
      </c>
      <c r="V557" s="36"/>
      <c r="W557" s="41">
        <v>1</v>
      </c>
      <c r="X557" s="36"/>
      <c r="Y557" s="41">
        <v>1</v>
      </c>
      <c r="Z557" s="37"/>
      <c r="AA557" s="52"/>
      <c r="AB557" s="50"/>
      <c r="AC557" s="50"/>
      <c r="AD557" s="51"/>
      <c r="AE557" s="52"/>
      <c r="AF557" s="36"/>
    </row>
    <row r="558" spans="2:32" s="72" customFormat="1" ht="57" x14ac:dyDescent="0.3">
      <c r="B558" s="36"/>
      <c r="C558" s="36"/>
      <c r="D558" s="433"/>
      <c r="E558" s="33"/>
      <c r="F558" s="33"/>
      <c r="G558" s="33"/>
      <c r="H558" s="33"/>
      <c r="I558" s="33"/>
      <c r="J558" s="36"/>
      <c r="K558" s="374"/>
      <c r="L558" s="375" t="s">
        <v>291</v>
      </c>
      <c r="M558" s="362" t="s">
        <v>1476</v>
      </c>
      <c r="N558" s="41">
        <v>1</v>
      </c>
      <c r="O558" s="41">
        <v>1</v>
      </c>
      <c r="P558" s="50"/>
      <c r="Q558" s="41">
        <v>1</v>
      </c>
      <c r="R558" s="36"/>
      <c r="S558" s="41">
        <v>1</v>
      </c>
      <c r="T558" s="36"/>
      <c r="U558" s="41">
        <v>1</v>
      </c>
      <c r="V558" s="36"/>
      <c r="W558" s="41">
        <v>1</v>
      </c>
      <c r="X558" s="36"/>
      <c r="Y558" s="41">
        <v>1</v>
      </c>
      <c r="Z558" s="37"/>
      <c r="AA558" s="52"/>
      <c r="AB558" s="50"/>
      <c r="AC558" s="50"/>
      <c r="AD558" s="51"/>
      <c r="AE558" s="52"/>
      <c r="AF558" s="36"/>
    </row>
    <row r="559" spans="2:32" s="72" customFormat="1" x14ac:dyDescent="0.3">
      <c r="B559" s="36"/>
      <c r="C559" s="36"/>
      <c r="D559" s="433"/>
      <c r="E559" s="33"/>
      <c r="F559" s="33"/>
      <c r="G559" s="33"/>
      <c r="H559" s="33"/>
      <c r="I559" s="33"/>
      <c r="J559" s="36"/>
      <c r="K559" s="374" t="s">
        <v>295</v>
      </c>
      <c r="L559" s="375" t="s">
        <v>291</v>
      </c>
      <c r="M559" s="384" t="s">
        <v>1452</v>
      </c>
      <c r="N559" s="36"/>
      <c r="O559" s="36"/>
      <c r="P559" s="50"/>
      <c r="Q559" s="36"/>
      <c r="R559" s="36"/>
      <c r="S559" s="36"/>
      <c r="T559" s="36"/>
      <c r="U559" s="36"/>
      <c r="V559" s="36"/>
      <c r="W559" s="36"/>
      <c r="X559" s="36"/>
      <c r="Y559" s="36"/>
      <c r="Z559" s="37"/>
      <c r="AA559" s="52"/>
      <c r="AB559" s="50"/>
      <c r="AC559" s="50"/>
      <c r="AD559" s="51"/>
      <c r="AE559" s="52"/>
      <c r="AF559" s="36"/>
    </row>
    <row r="560" spans="2:32" s="72" customFormat="1" ht="28.5" x14ac:dyDescent="0.3">
      <c r="B560" s="92"/>
      <c r="C560" s="92"/>
      <c r="D560" s="445"/>
      <c r="E560" s="91"/>
      <c r="F560" s="91"/>
      <c r="G560" s="91"/>
      <c r="H560" s="91"/>
      <c r="I560" s="91"/>
      <c r="J560" s="92"/>
      <c r="K560" s="377" t="s">
        <v>297</v>
      </c>
      <c r="L560" s="378" t="s">
        <v>291</v>
      </c>
      <c r="M560" s="459" t="s">
        <v>1453</v>
      </c>
      <c r="N560" s="92"/>
      <c r="O560" s="92"/>
      <c r="P560" s="93"/>
      <c r="Q560" s="92"/>
      <c r="R560" s="92"/>
      <c r="S560" s="92"/>
      <c r="T560" s="92"/>
      <c r="U560" s="92"/>
      <c r="V560" s="92"/>
      <c r="W560" s="92"/>
      <c r="X560" s="92"/>
      <c r="Y560" s="92"/>
      <c r="Z560" s="101"/>
      <c r="AA560" s="95"/>
      <c r="AB560" s="93"/>
      <c r="AC560" s="93"/>
      <c r="AD560" s="94"/>
      <c r="AE560" s="95"/>
      <c r="AF560" s="92"/>
    </row>
    <row r="561" spans="2:32" s="72" customFormat="1" x14ac:dyDescent="0.3">
      <c r="B561" s="36"/>
      <c r="C561" s="36"/>
      <c r="D561" s="433"/>
      <c r="E561" s="33"/>
      <c r="F561" s="33"/>
      <c r="G561" s="33"/>
      <c r="H561" s="33"/>
      <c r="I561" s="33"/>
      <c r="J561" s="36"/>
      <c r="K561" s="37"/>
      <c r="L561" s="46"/>
      <c r="M561" s="362"/>
      <c r="N561" s="36"/>
      <c r="O561" s="36"/>
      <c r="P561" s="50"/>
      <c r="Q561" s="36"/>
      <c r="R561" s="36"/>
      <c r="S561" s="36"/>
      <c r="T561" s="36"/>
      <c r="U561" s="36"/>
      <c r="V561" s="36"/>
      <c r="W561" s="36"/>
      <c r="X561" s="36"/>
      <c r="Y561" s="36"/>
      <c r="Z561" s="37"/>
      <c r="AA561" s="52"/>
      <c r="AB561" s="50"/>
      <c r="AC561" s="50"/>
      <c r="AD561" s="51"/>
      <c r="AE561" s="52"/>
      <c r="AF561" s="36"/>
    </row>
    <row r="562" spans="2:32" s="76" customFormat="1" ht="28.5" x14ac:dyDescent="0.3">
      <c r="B562" s="36"/>
      <c r="C562" s="36"/>
      <c r="D562" s="433"/>
      <c r="E562" s="33">
        <v>1</v>
      </c>
      <c r="F562" s="70" t="s">
        <v>131</v>
      </c>
      <c r="G562" s="70" t="s">
        <v>131</v>
      </c>
      <c r="H562" s="33">
        <v>17</v>
      </c>
      <c r="I562" s="33">
        <v>12</v>
      </c>
      <c r="J562" s="36" t="s">
        <v>181</v>
      </c>
      <c r="K562" s="374" t="s">
        <v>290</v>
      </c>
      <c r="L562" s="375" t="s">
        <v>291</v>
      </c>
      <c r="M562" s="375" t="s">
        <v>292</v>
      </c>
      <c r="N562" s="36" t="s">
        <v>301</v>
      </c>
      <c r="O562" s="36" t="s">
        <v>301</v>
      </c>
      <c r="P562" s="50">
        <v>78307500</v>
      </c>
      <c r="Q562" s="36" t="s">
        <v>301</v>
      </c>
      <c r="R562" s="431">
        <f>P562+(P562*10%)</f>
        <v>86138250</v>
      </c>
      <c r="S562" s="36" t="s">
        <v>301</v>
      </c>
      <c r="T562" s="431">
        <f>R562+(R562*10%)</f>
        <v>94752075</v>
      </c>
      <c r="U562" s="36" t="s">
        <v>301</v>
      </c>
      <c r="V562" s="431">
        <f>T562+(T562*10%)</f>
        <v>104227282.5</v>
      </c>
      <c r="W562" s="36" t="s">
        <v>301</v>
      </c>
      <c r="X562" s="431">
        <f>V562+(V562*10%)</f>
        <v>114650010.75</v>
      </c>
      <c r="Y562" s="36" t="s">
        <v>301</v>
      </c>
      <c r="Z562" s="431">
        <f>X562+V562+T562+R562+P562</f>
        <v>478075118.25</v>
      </c>
      <c r="AA562" s="52" t="s">
        <v>84</v>
      </c>
      <c r="AB562" s="50">
        <v>30000</v>
      </c>
      <c r="AC562" s="50">
        <f>AB562+(AB562*20%)</f>
        <v>36000</v>
      </c>
      <c r="AD562" s="51" t="s">
        <v>66</v>
      </c>
      <c r="AE562" s="52" t="s">
        <v>81</v>
      </c>
      <c r="AF562" s="36" t="s">
        <v>75</v>
      </c>
    </row>
    <row r="563" spans="2:32" ht="28.5" x14ac:dyDescent="0.3">
      <c r="B563" s="36"/>
      <c r="C563" s="36"/>
      <c r="E563" s="33"/>
      <c r="F563" s="33"/>
      <c r="G563" s="33"/>
      <c r="H563" s="33"/>
      <c r="I563" s="33"/>
      <c r="J563" s="36"/>
      <c r="K563" s="374" t="s">
        <v>293</v>
      </c>
      <c r="L563" s="375" t="s">
        <v>291</v>
      </c>
      <c r="M563" s="362" t="s">
        <v>1294</v>
      </c>
      <c r="N563" s="36" t="s">
        <v>1158</v>
      </c>
      <c r="O563" s="36" t="s">
        <v>1158</v>
      </c>
      <c r="P563" s="50"/>
      <c r="Q563" s="36" t="s">
        <v>1158</v>
      </c>
      <c r="R563" s="36"/>
      <c r="S563" s="36" t="s">
        <v>1158</v>
      </c>
      <c r="T563" s="36"/>
      <c r="U563" s="36" t="s">
        <v>1158</v>
      </c>
      <c r="V563" s="36"/>
      <c r="W563" s="36" t="s">
        <v>1158</v>
      </c>
      <c r="X563" s="36"/>
      <c r="Y563" s="36" t="s">
        <v>1158</v>
      </c>
      <c r="Z563" s="37"/>
      <c r="AA563" s="52"/>
      <c r="AB563" s="50"/>
      <c r="AC563" s="50"/>
      <c r="AD563" s="51"/>
      <c r="AE563" s="52"/>
      <c r="AF563" s="36"/>
    </row>
    <row r="564" spans="2:32" s="73" customFormat="1" ht="42.75" x14ac:dyDescent="0.3">
      <c r="B564" s="36"/>
      <c r="C564" s="36"/>
      <c r="D564" s="14"/>
      <c r="E564" s="33"/>
      <c r="F564" s="33"/>
      <c r="G564" s="33"/>
      <c r="H564" s="33"/>
      <c r="I564" s="33"/>
      <c r="J564" s="36"/>
      <c r="K564" s="37"/>
      <c r="L564" s="375" t="s">
        <v>291</v>
      </c>
      <c r="M564" s="362" t="s">
        <v>1295</v>
      </c>
      <c r="N564" s="36" t="s">
        <v>779</v>
      </c>
      <c r="O564" s="36" t="s">
        <v>779</v>
      </c>
      <c r="P564" s="50"/>
      <c r="Q564" s="36" t="s">
        <v>779</v>
      </c>
      <c r="R564" s="36"/>
      <c r="S564" s="36" t="s">
        <v>779</v>
      </c>
      <c r="T564" s="36"/>
      <c r="U564" s="36" t="s">
        <v>779</v>
      </c>
      <c r="V564" s="36"/>
      <c r="W564" s="36" t="s">
        <v>779</v>
      </c>
      <c r="X564" s="36"/>
      <c r="Y564" s="36" t="s">
        <v>779</v>
      </c>
      <c r="Z564" s="37"/>
      <c r="AA564" s="52"/>
      <c r="AB564" s="50">
        <v>60000</v>
      </c>
      <c r="AC564" s="50">
        <f>AB564+(AB564*20%)</f>
        <v>72000</v>
      </c>
      <c r="AD564" s="51" t="str">
        <f>AD562</f>
        <v>Dinas Dikpora</v>
      </c>
      <c r="AE564" s="52" t="s">
        <v>81</v>
      </c>
      <c r="AF564" s="36"/>
    </row>
    <row r="565" spans="2:32" ht="28.5" x14ac:dyDescent="0.3">
      <c r="B565" s="36"/>
      <c r="C565" s="36"/>
      <c r="E565" s="33"/>
      <c r="F565" s="33"/>
      <c r="G565" s="33"/>
      <c r="H565" s="33"/>
      <c r="I565" s="33"/>
      <c r="J565" s="36"/>
      <c r="K565" s="37"/>
      <c r="L565" s="375" t="s">
        <v>291</v>
      </c>
      <c r="M565" s="362" t="s">
        <v>1296</v>
      </c>
      <c r="N565" s="36" t="s">
        <v>796</v>
      </c>
      <c r="O565" s="36" t="s">
        <v>796</v>
      </c>
      <c r="P565" s="50"/>
      <c r="Q565" s="36" t="s">
        <v>796</v>
      </c>
      <c r="R565" s="36"/>
      <c r="S565" s="36" t="s">
        <v>796</v>
      </c>
      <c r="T565" s="36"/>
      <c r="U565" s="36" t="s">
        <v>796</v>
      </c>
      <c r="V565" s="36"/>
      <c r="W565" s="36" t="s">
        <v>796</v>
      </c>
      <c r="X565" s="36"/>
      <c r="Y565" s="36" t="s">
        <v>796</v>
      </c>
      <c r="Z565" s="37"/>
      <c r="AA565" s="52"/>
      <c r="AB565" s="50"/>
      <c r="AC565" s="50"/>
      <c r="AD565" s="51"/>
      <c r="AE565" s="52"/>
      <c r="AF565" s="36"/>
    </row>
    <row r="566" spans="2:32" ht="28.5" x14ac:dyDescent="0.3">
      <c r="B566" s="36"/>
      <c r="C566" s="36"/>
      <c r="E566" s="33"/>
      <c r="F566" s="33"/>
      <c r="G566" s="33"/>
      <c r="H566" s="33"/>
      <c r="I566" s="33"/>
      <c r="J566" s="36"/>
      <c r="K566" s="374" t="s">
        <v>294</v>
      </c>
      <c r="L566" s="375" t="s">
        <v>291</v>
      </c>
      <c r="M566" s="362" t="s">
        <v>1477</v>
      </c>
      <c r="N566" s="41">
        <v>1</v>
      </c>
      <c r="O566" s="41">
        <v>1</v>
      </c>
      <c r="P566" s="50"/>
      <c r="Q566" s="41">
        <v>1</v>
      </c>
      <c r="R566" s="36"/>
      <c r="S566" s="41">
        <v>1</v>
      </c>
      <c r="T566" s="36"/>
      <c r="U566" s="41">
        <v>1</v>
      </c>
      <c r="V566" s="36"/>
      <c r="W566" s="41">
        <v>1</v>
      </c>
      <c r="X566" s="36"/>
      <c r="Y566" s="41">
        <v>1</v>
      </c>
      <c r="Z566" s="37"/>
      <c r="AA566" s="52"/>
      <c r="AB566" s="50"/>
      <c r="AC566" s="50"/>
      <c r="AD566" s="51"/>
      <c r="AE566" s="52"/>
      <c r="AF566" s="36"/>
    </row>
    <row r="567" spans="2:32" x14ac:dyDescent="0.3">
      <c r="B567" s="36"/>
      <c r="C567" s="36"/>
      <c r="E567" s="33"/>
      <c r="F567" s="33"/>
      <c r="G567" s="33"/>
      <c r="H567" s="33"/>
      <c r="I567" s="33"/>
      <c r="J567" s="36"/>
      <c r="K567" s="374" t="s">
        <v>295</v>
      </c>
      <c r="L567" s="375" t="s">
        <v>291</v>
      </c>
      <c r="M567" s="384" t="s">
        <v>1445</v>
      </c>
      <c r="N567" s="36"/>
      <c r="O567" s="36"/>
      <c r="P567" s="50"/>
      <c r="Q567" s="36"/>
      <c r="R567" s="36"/>
      <c r="S567" s="36"/>
      <c r="T567" s="36"/>
      <c r="U567" s="36"/>
      <c r="V567" s="36"/>
      <c r="W567" s="36"/>
      <c r="X567" s="36"/>
      <c r="Y567" s="36"/>
      <c r="Z567" s="37"/>
      <c r="AA567" s="52"/>
      <c r="AB567" s="50"/>
      <c r="AC567" s="50"/>
      <c r="AD567" s="51"/>
      <c r="AE567" s="52"/>
      <c r="AF567" s="36"/>
    </row>
    <row r="568" spans="2:32" x14ac:dyDescent="0.3">
      <c r="B568" s="92"/>
      <c r="C568" s="92"/>
      <c r="D568" s="445"/>
      <c r="E568" s="91"/>
      <c r="F568" s="91"/>
      <c r="G568" s="91"/>
      <c r="H568" s="91"/>
      <c r="I568" s="91"/>
      <c r="J568" s="92"/>
      <c r="K568" s="377" t="s">
        <v>297</v>
      </c>
      <c r="L568" s="378" t="s">
        <v>291</v>
      </c>
      <c r="M568" s="385" t="s">
        <v>1433</v>
      </c>
      <c r="N568" s="92"/>
      <c r="O568" s="92"/>
      <c r="P568" s="93"/>
      <c r="Q568" s="92"/>
      <c r="R568" s="92"/>
      <c r="S568" s="92"/>
      <c r="T568" s="92"/>
      <c r="U568" s="92"/>
      <c r="V568" s="92"/>
      <c r="W568" s="92"/>
      <c r="X568" s="92"/>
      <c r="Y568" s="92"/>
      <c r="Z568" s="101"/>
      <c r="AA568" s="95"/>
      <c r="AB568" s="93"/>
      <c r="AC568" s="93"/>
      <c r="AD568" s="94"/>
      <c r="AE568" s="95"/>
      <c r="AF568" s="92"/>
    </row>
    <row r="569" spans="2:32" x14ac:dyDescent="0.3">
      <c r="B569" s="36"/>
      <c r="C569" s="36"/>
      <c r="E569" s="33"/>
      <c r="F569" s="33"/>
      <c r="G569" s="33"/>
      <c r="H569" s="33"/>
      <c r="I569" s="33"/>
      <c r="J569" s="36"/>
      <c r="K569" s="37"/>
      <c r="L569" s="375"/>
      <c r="M569" s="362"/>
      <c r="N569" s="36"/>
      <c r="O569" s="36"/>
      <c r="P569" s="50"/>
      <c r="Q569" s="36"/>
      <c r="R569" s="36"/>
      <c r="S569" s="36"/>
      <c r="T569" s="36"/>
      <c r="U569" s="36"/>
      <c r="V569" s="36"/>
      <c r="W569" s="36"/>
      <c r="X569" s="36"/>
      <c r="Y569" s="36"/>
      <c r="Z569" s="37"/>
      <c r="AA569" s="52"/>
      <c r="AB569" s="50"/>
      <c r="AC569" s="50"/>
      <c r="AD569" s="51"/>
      <c r="AE569" s="52"/>
      <c r="AF569" s="36"/>
    </row>
    <row r="570" spans="2:32" ht="28.5" x14ac:dyDescent="0.3">
      <c r="B570" s="36"/>
      <c r="C570" s="36"/>
      <c r="E570" s="33">
        <v>1</v>
      </c>
      <c r="F570" s="70" t="s">
        <v>131</v>
      </c>
      <c r="G570" s="70" t="s">
        <v>131</v>
      </c>
      <c r="H570" s="33">
        <v>17</v>
      </c>
      <c r="I570" s="33">
        <v>13</v>
      </c>
      <c r="J570" s="36" t="s">
        <v>182</v>
      </c>
      <c r="K570" s="374" t="s">
        <v>290</v>
      </c>
      <c r="L570" s="375" t="s">
        <v>291</v>
      </c>
      <c r="M570" s="375" t="s">
        <v>292</v>
      </c>
      <c r="N570" s="36" t="s">
        <v>301</v>
      </c>
      <c r="O570" s="36" t="s">
        <v>301</v>
      </c>
      <c r="P570" s="50">
        <v>18087500</v>
      </c>
      <c r="Q570" s="36" t="s">
        <v>301</v>
      </c>
      <c r="R570" s="431">
        <f>P570+(P570*10%)</f>
        <v>19896250</v>
      </c>
      <c r="S570" s="36" t="s">
        <v>301</v>
      </c>
      <c r="T570" s="431">
        <f>R570+(R570*10%)</f>
        <v>21885875</v>
      </c>
      <c r="U570" s="36" t="s">
        <v>301</v>
      </c>
      <c r="V570" s="431">
        <f>T570+(T570*10%)</f>
        <v>24074462.5</v>
      </c>
      <c r="W570" s="36" t="s">
        <v>301</v>
      </c>
      <c r="X570" s="431">
        <f>V570+(V570*10%)</f>
        <v>26481908.75</v>
      </c>
      <c r="Y570" s="36" t="s">
        <v>301</v>
      </c>
      <c r="Z570" s="431">
        <f>X570+V570+T570+R570+P570</f>
        <v>110425996.25</v>
      </c>
      <c r="AA570" s="52" t="s">
        <v>84</v>
      </c>
      <c r="AB570" s="50">
        <v>54333</v>
      </c>
      <c r="AC570" s="50">
        <f>AB570+(AB570*10%)</f>
        <v>59766.3</v>
      </c>
      <c r="AD570" s="51" t="s">
        <v>66</v>
      </c>
      <c r="AE570" s="52" t="s">
        <v>81</v>
      </c>
      <c r="AF570" s="36" t="s">
        <v>183</v>
      </c>
    </row>
    <row r="571" spans="2:32" ht="28.5" x14ac:dyDescent="0.3">
      <c r="B571" s="36"/>
      <c r="C571" s="36"/>
      <c r="E571" s="33"/>
      <c r="F571" s="33"/>
      <c r="G571" s="33"/>
      <c r="H571" s="33"/>
      <c r="I571" s="33"/>
      <c r="J571" s="36"/>
      <c r="K571" s="374" t="s">
        <v>293</v>
      </c>
      <c r="L571" s="375" t="s">
        <v>291</v>
      </c>
      <c r="M571" s="362" t="s">
        <v>1297</v>
      </c>
      <c r="N571" s="36" t="s">
        <v>783</v>
      </c>
      <c r="O571" s="36" t="s">
        <v>783</v>
      </c>
      <c r="P571" s="50"/>
      <c r="Q571" s="36" t="s">
        <v>783</v>
      </c>
      <c r="R571" s="36"/>
      <c r="S571" s="36" t="s">
        <v>783</v>
      </c>
      <c r="T571" s="36"/>
      <c r="U571" s="36" t="s">
        <v>783</v>
      </c>
      <c r="V571" s="36"/>
      <c r="W571" s="36" t="s">
        <v>783</v>
      </c>
      <c r="X571" s="36"/>
      <c r="Y571" s="36" t="s">
        <v>783</v>
      </c>
      <c r="Z571" s="37"/>
      <c r="AA571" s="52"/>
      <c r="AB571" s="50"/>
      <c r="AC571" s="50"/>
      <c r="AD571" s="51"/>
      <c r="AE571" s="52"/>
      <c r="AF571" s="36"/>
    </row>
    <row r="572" spans="2:32" ht="28.5" x14ac:dyDescent="0.3">
      <c r="B572" s="36"/>
      <c r="C572" s="36"/>
      <c r="E572" s="33"/>
      <c r="F572" s="33"/>
      <c r="G572" s="33"/>
      <c r="H572" s="33"/>
      <c r="I572" s="33"/>
      <c r="J572" s="36"/>
      <c r="K572" s="374" t="s">
        <v>294</v>
      </c>
      <c r="L572" s="375" t="s">
        <v>291</v>
      </c>
      <c r="M572" s="362" t="s">
        <v>1478</v>
      </c>
      <c r="N572" s="41">
        <v>1</v>
      </c>
      <c r="O572" s="41">
        <v>1</v>
      </c>
      <c r="P572" s="50"/>
      <c r="Q572" s="41">
        <v>1</v>
      </c>
      <c r="R572" s="36"/>
      <c r="S572" s="41">
        <v>1</v>
      </c>
      <c r="T572" s="36"/>
      <c r="U572" s="41">
        <v>1</v>
      </c>
      <c r="V572" s="36"/>
      <c r="W572" s="41">
        <v>1</v>
      </c>
      <c r="X572" s="36"/>
      <c r="Y572" s="41">
        <v>1</v>
      </c>
      <c r="Z572" s="37"/>
      <c r="AA572" s="52"/>
      <c r="AB572" s="50"/>
      <c r="AC572" s="50"/>
      <c r="AD572" s="51"/>
      <c r="AE572" s="52"/>
      <c r="AF572" s="36"/>
    </row>
    <row r="573" spans="2:32" x14ac:dyDescent="0.3">
      <c r="B573" s="36"/>
      <c r="C573" s="36"/>
      <c r="E573" s="33"/>
      <c r="F573" s="33"/>
      <c r="G573" s="33"/>
      <c r="H573" s="33"/>
      <c r="I573" s="33"/>
      <c r="J573" s="36"/>
      <c r="K573" s="374" t="s">
        <v>295</v>
      </c>
      <c r="L573" s="375" t="s">
        <v>291</v>
      </c>
      <c r="M573" s="415" t="s">
        <v>689</v>
      </c>
      <c r="N573" s="417"/>
      <c r="O573" s="417"/>
      <c r="P573" s="50"/>
      <c r="Q573" s="417"/>
      <c r="R573" s="36"/>
      <c r="S573" s="417"/>
      <c r="T573" s="36"/>
      <c r="U573" s="417"/>
      <c r="V573" s="36"/>
      <c r="W573" s="417"/>
      <c r="X573" s="36"/>
      <c r="Y573" s="417"/>
      <c r="Z573" s="37"/>
      <c r="AA573" s="52"/>
      <c r="AB573" s="50"/>
      <c r="AC573" s="50"/>
      <c r="AD573" s="51"/>
      <c r="AE573" s="52"/>
      <c r="AF573" s="36"/>
    </row>
    <row r="574" spans="2:32" x14ac:dyDescent="0.3">
      <c r="B574" s="92"/>
      <c r="C574" s="92"/>
      <c r="D574" s="445"/>
      <c r="E574" s="91"/>
      <c r="F574" s="91"/>
      <c r="G574" s="91"/>
      <c r="H574" s="91"/>
      <c r="I574" s="91"/>
      <c r="J574" s="92"/>
      <c r="K574" s="377" t="s">
        <v>297</v>
      </c>
      <c r="L574" s="378" t="s">
        <v>291</v>
      </c>
      <c r="M574" s="401" t="s">
        <v>501</v>
      </c>
      <c r="N574" s="403"/>
      <c r="O574" s="403"/>
      <c r="P574" s="93"/>
      <c r="Q574" s="403"/>
      <c r="R574" s="92"/>
      <c r="S574" s="403"/>
      <c r="T574" s="92"/>
      <c r="U574" s="403"/>
      <c r="V574" s="92"/>
      <c r="W574" s="403"/>
      <c r="X574" s="92"/>
      <c r="Y574" s="403"/>
      <c r="Z574" s="101"/>
      <c r="AA574" s="95"/>
      <c r="AB574" s="93"/>
      <c r="AC574" s="93"/>
      <c r="AD574" s="94"/>
      <c r="AE574" s="95"/>
      <c r="AF574" s="92"/>
    </row>
    <row r="575" spans="2:32" x14ac:dyDescent="0.3">
      <c r="B575" s="36"/>
      <c r="C575" s="36"/>
      <c r="E575" s="33"/>
      <c r="F575" s="33"/>
      <c r="G575" s="33"/>
      <c r="H575" s="33"/>
      <c r="I575" s="33"/>
      <c r="J575" s="36"/>
      <c r="K575" s="374"/>
      <c r="L575" s="375"/>
      <c r="M575" s="362"/>
      <c r="N575" s="36"/>
      <c r="O575" s="36"/>
      <c r="P575" s="50"/>
      <c r="Q575" s="36"/>
      <c r="R575" s="36"/>
      <c r="S575" s="36"/>
      <c r="T575" s="36"/>
      <c r="U575" s="36"/>
      <c r="V575" s="36"/>
      <c r="W575" s="36"/>
      <c r="X575" s="36"/>
      <c r="Y575" s="36"/>
      <c r="Z575" s="37"/>
      <c r="AA575" s="52"/>
      <c r="AB575" s="50"/>
      <c r="AC575" s="50"/>
      <c r="AD575" s="51"/>
      <c r="AE575" s="52"/>
      <c r="AF575" s="36"/>
    </row>
    <row r="576" spans="2:32" s="76" customFormat="1" ht="42.75" x14ac:dyDescent="0.3">
      <c r="B576" s="36"/>
      <c r="C576" s="36"/>
      <c r="D576" s="433"/>
      <c r="E576" s="33">
        <v>1</v>
      </c>
      <c r="F576" s="70" t="s">
        <v>131</v>
      </c>
      <c r="G576" s="70" t="s">
        <v>131</v>
      </c>
      <c r="H576" s="33">
        <v>17</v>
      </c>
      <c r="I576" s="33">
        <v>14</v>
      </c>
      <c r="J576" s="36" t="s">
        <v>184</v>
      </c>
      <c r="K576" s="374" t="s">
        <v>290</v>
      </c>
      <c r="L576" s="375" t="s">
        <v>291</v>
      </c>
      <c r="M576" s="375" t="s">
        <v>292</v>
      </c>
      <c r="N576" s="36" t="s">
        <v>301</v>
      </c>
      <c r="O576" s="36" t="s">
        <v>301</v>
      </c>
      <c r="P576" s="50">
        <v>29000000</v>
      </c>
      <c r="Q576" s="36" t="s">
        <v>301</v>
      </c>
      <c r="R576" s="431">
        <f>P576+(P576*10%)</f>
        <v>31900000</v>
      </c>
      <c r="S576" s="36" t="s">
        <v>301</v>
      </c>
      <c r="T576" s="431">
        <f>R576+(R576*10%)</f>
        <v>35090000</v>
      </c>
      <c r="U576" s="36" t="s">
        <v>301</v>
      </c>
      <c r="V576" s="431">
        <f>T576+(T576*10%)</f>
        <v>38599000</v>
      </c>
      <c r="W576" s="36" t="s">
        <v>301</v>
      </c>
      <c r="X576" s="431">
        <f>V576+(V576*10%)</f>
        <v>42458900</v>
      </c>
      <c r="Y576" s="36" t="s">
        <v>301</v>
      </c>
      <c r="Z576" s="431">
        <f>X576+V576+T576+R576+P576</f>
        <v>177047900</v>
      </c>
      <c r="AA576" s="52" t="str">
        <f>AA570</f>
        <v>Dinas dikpora</v>
      </c>
      <c r="AB576" s="50">
        <v>581585</v>
      </c>
      <c r="AC576" s="50">
        <f>AB576</f>
        <v>581585</v>
      </c>
      <c r="AD576" s="51" t="s">
        <v>66</v>
      </c>
      <c r="AE576" s="52" t="s">
        <v>81</v>
      </c>
      <c r="AF576" s="36" t="s">
        <v>75</v>
      </c>
    </row>
    <row r="577" spans="2:32" ht="28.5" x14ac:dyDescent="0.3">
      <c r="B577" s="36"/>
      <c r="C577" s="36"/>
      <c r="E577" s="33"/>
      <c r="F577" s="33"/>
      <c r="G577" s="33"/>
      <c r="H577" s="33"/>
      <c r="I577" s="33"/>
      <c r="J577" s="36"/>
      <c r="K577" s="374" t="s">
        <v>293</v>
      </c>
      <c r="L577" s="375" t="s">
        <v>291</v>
      </c>
      <c r="M577" s="362" t="s">
        <v>1298</v>
      </c>
      <c r="N577" s="36" t="s">
        <v>705</v>
      </c>
      <c r="O577" s="36" t="s">
        <v>705</v>
      </c>
      <c r="P577" s="50"/>
      <c r="Q577" s="36" t="s">
        <v>705</v>
      </c>
      <c r="R577" s="36"/>
      <c r="S577" s="36" t="s">
        <v>705</v>
      </c>
      <c r="T577" s="36"/>
      <c r="U577" s="36" t="s">
        <v>705</v>
      </c>
      <c r="V577" s="36"/>
      <c r="W577" s="36" t="s">
        <v>705</v>
      </c>
      <c r="X577" s="36"/>
      <c r="Y577" s="36" t="s">
        <v>705</v>
      </c>
      <c r="Z577" s="37"/>
      <c r="AA577" s="52"/>
      <c r="AB577" s="50"/>
      <c r="AC577" s="50"/>
      <c r="AD577" s="51"/>
      <c r="AE577" s="52"/>
      <c r="AF577" s="36"/>
    </row>
    <row r="578" spans="2:32" ht="28.5" x14ac:dyDescent="0.3">
      <c r="B578" s="36"/>
      <c r="C578" s="36"/>
      <c r="E578" s="33"/>
      <c r="F578" s="33"/>
      <c r="G578" s="33"/>
      <c r="H578" s="33"/>
      <c r="I578" s="33"/>
      <c r="J578" s="36"/>
      <c r="K578" s="37"/>
      <c r="L578" s="375" t="s">
        <v>291</v>
      </c>
      <c r="M578" s="362" t="s">
        <v>1280</v>
      </c>
      <c r="N578" s="36" t="s">
        <v>707</v>
      </c>
      <c r="O578" s="36" t="s">
        <v>707</v>
      </c>
      <c r="P578" s="50"/>
      <c r="Q578" s="36" t="s">
        <v>707</v>
      </c>
      <c r="R578" s="36"/>
      <c r="S578" s="36" t="s">
        <v>707</v>
      </c>
      <c r="T578" s="36"/>
      <c r="U578" s="36" t="s">
        <v>707</v>
      </c>
      <c r="V578" s="36"/>
      <c r="W578" s="36" t="s">
        <v>707</v>
      </c>
      <c r="X578" s="36"/>
      <c r="Y578" s="36" t="s">
        <v>707</v>
      </c>
      <c r="Z578" s="37"/>
      <c r="AA578" s="52"/>
      <c r="AB578" s="50">
        <v>885000</v>
      </c>
      <c r="AC578" s="50">
        <f t="shared" ref="AC578:AC592" si="24">AB578+(AB578*10%)</f>
        <v>973500</v>
      </c>
      <c r="AD578" s="51" t="s">
        <v>84</v>
      </c>
      <c r="AE578" s="52" t="s">
        <v>81</v>
      </c>
      <c r="AF578" s="36"/>
    </row>
    <row r="579" spans="2:32" ht="28.5" x14ac:dyDescent="0.3">
      <c r="B579" s="36"/>
      <c r="C579" s="36"/>
      <c r="E579" s="33"/>
      <c r="F579" s="33"/>
      <c r="G579" s="33"/>
      <c r="H579" s="33"/>
      <c r="I579" s="33"/>
      <c r="J579" s="36"/>
      <c r="K579" s="374" t="s">
        <v>294</v>
      </c>
      <c r="L579" s="375" t="s">
        <v>291</v>
      </c>
      <c r="M579" s="362" t="s">
        <v>1479</v>
      </c>
      <c r="N579" s="41">
        <v>1</v>
      </c>
      <c r="O579" s="41">
        <v>1</v>
      </c>
      <c r="P579" s="50"/>
      <c r="Q579" s="41">
        <v>1</v>
      </c>
      <c r="R579" s="36"/>
      <c r="S579" s="41">
        <v>1</v>
      </c>
      <c r="T579" s="36"/>
      <c r="U579" s="41">
        <v>1</v>
      </c>
      <c r="V579" s="36"/>
      <c r="W579" s="41">
        <v>1</v>
      </c>
      <c r="X579" s="36"/>
      <c r="Y579" s="41">
        <v>1</v>
      </c>
      <c r="Z579" s="37"/>
      <c r="AA579" s="52"/>
      <c r="AB579" s="50"/>
      <c r="AC579" s="50"/>
      <c r="AD579" s="51"/>
      <c r="AE579" s="52"/>
      <c r="AF579" s="36"/>
    </row>
    <row r="580" spans="2:32" x14ac:dyDescent="0.3">
      <c r="B580" s="36"/>
      <c r="C580" s="36"/>
      <c r="E580" s="33"/>
      <c r="F580" s="33"/>
      <c r="G580" s="33"/>
      <c r="H580" s="33"/>
      <c r="I580" s="33"/>
      <c r="J580" s="36"/>
      <c r="K580" s="374" t="s">
        <v>295</v>
      </c>
      <c r="L580" s="375" t="s">
        <v>291</v>
      </c>
      <c r="M580" s="384" t="s">
        <v>1456</v>
      </c>
      <c r="N580" s="36"/>
      <c r="O580" s="36"/>
      <c r="P580" s="50"/>
      <c r="Q580" s="36"/>
      <c r="R580" s="36"/>
      <c r="S580" s="36"/>
      <c r="T580" s="36"/>
      <c r="U580" s="36"/>
      <c r="V580" s="36"/>
      <c r="W580" s="36"/>
      <c r="X580" s="36"/>
      <c r="Y580" s="36"/>
      <c r="Z580" s="37"/>
      <c r="AA580" s="52"/>
      <c r="AB580" s="50"/>
      <c r="AC580" s="50"/>
      <c r="AD580" s="51"/>
      <c r="AE580" s="52"/>
      <c r="AF580" s="36"/>
    </row>
    <row r="581" spans="2:32" ht="28.5" x14ac:dyDescent="0.3">
      <c r="B581" s="92"/>
      <c r="C581" s="92"/>
      <c r="D581" s="445"/>
      <c r="E581" s="91"/>
      <c r="F581" s="91"/>
      <c r="G581" s="91"/>
      <c r="H581" s="91"/>
      <c r="I581" s="91"/>
      <c r="J581" s="92"/>
      <c r="K581" s="377" t="s">
        <v>297</v>
      </c>
      <c r="L581" s="378" t="s">
        <v>291</v>
      </c>
      <c r="M581" s="459" t="s">
        <v>1457</v>
      </c>
      <c r="N581" s="92"/>
      <c r="O581" s="92"/>
      <c r="P581" s="93"/>
      <c r="Q581" s="92"/>
      <c r="R581" s="92"/>
      <c r="S581" s="92"/>
      <c r="T581" s="92"/>
      <c r="U581" s="92"/>
      <c r="V581" s="92"/>
      <c r="W581" s="92"/>
      <c r="X581" s="92"/>
      <c r="Y581" s="92"/>
      <c r="Z581" s="101"/>
      <c r="AA581" s="95"/>
      <c r="AB581" s="93"/>
      <c r="AC581" s="93"/>
      <c r="AD581" s="94"/>
      <c r="AE581" s="95"/>
      <c r="AF581" s="92"/>
    </row>
    <row r="582" spans="2:32" x14ac:dyDescent="0.3">
      <c r="B582" s="36"/>
      <c r="C582" s="36"/>
      <c r="E582" s="33"/>
      <c r="F582" s="33"/>
      <c r="G582" s="33"/>
      <c r="H582" s="33"/>
      <c r="I582" s="33"/>
      <c r="J582" s="36"/>
      <c r="K582" s="37"/>
      <c r="L582" s="375"/>
      <c r="M582" s="362"/>
      <c r="N582" s="36"/>
      <c r="O582" s="36"/>
      <c r="P582" s="50"/>
      <c r="Q582" s="36"/>
      <c r="R582" s="36"/>
      <c r="S582" s="36"/>
      <c r="T582" s="36"/>
      <c r="U582" s="36"/>
      <c r="V582" s="36"/>
      <c r="W582" s="36"/>
      <c r="X582" s="36"/>
      <c r="Y582" s="36"/>
      <c r="Z582" s="37"/>
      <c r="AA582" s="52"/>
      <c r="AB582" s="50"/>
      <c r="AC582" s="50"/>
      <c r="AD582" s="51"/>
      <c r="AE582" s="52"/>
      <c r="AF582" s="36"/>
    </row>
    <row r="583" spans="2:32" s="76" customFormat="1" x14ac:dyDescent="0.3">
      <c r="B583" s="36"/>
      <c r="C583" s="36"/>
      <c r="D583" s="433"/>
      <c r="E583" s="33">
        <v>1</v>
      </c>
      <c r="F583" s="70" t="s">
        <v>131</v>
      </c>
      <c r="G583" s="70" t="s">
        <v>131</v>
      </c>
      <c r="H583" s="33">
        <v>17</v>
      </c>
      <c r="I583" s="33">
        <v>16</v>
      </c>
      <c r="J583" s="36" t="s">
        <v>185</v>
      </c>
      <c r="K583" s="374" t="s">
        <v>290</v>
      </c>
      <c r="L583" s="375" t="s">
        <v>291</v>
      </c>
      <c r="M583" s="375" t="s">
        <v>292</v>
      </c>
      <c r="N583" s="36" t="s">
        <v>301</v>
      </c>
      <c r="O583" s="36" t="s">
        <v>301</v>
      </c>
      <c r="P583" s="50">
        <v>27738000</v>
      </c>
      <c r="Q583" s="36" t="s">
        <v>301</v>
      </c>
      <c r="R583" s="431">
        <f>P583+(P583*10%)</f>
        <v>30511800</v>
      </c>
      <c r="S583" s="36" t="s">
        <v>301</v>
      </c>
      <c r="T583" s="431">
        <f>R583+(R583*10%)</f>
        <v>33562980</v>
      </c>
      <c r="U583" s="36" t="s">
        <v>301</v>
      </c>
      <c r="V583" s="431">
        <f>T583+(T583*10%)</f>
        <v>36919278</v>
      </c>
      <c r="W583" s="36" t="s">
        <v>301</v>
      </c>
      <c r="X583" s="431">
        <f>V583+(V583*10%)</f>
        <v>40611205.799999997</v>
      </c>
      <c r="Y583" s="36" t="s">
        <v>301</v>
      </c>
      <c r="Z583" s="431">
        <f>X583+V583+T583+R583+P583</f>
        <v>169343263.80000001</v>
      </c>
      <c r="AA583" s="52" t="str">
        <f>AA576</f>
        <v>Dinas dikpora</v>
      </c>
      <c r="AB583" s="85"/>
      <c r="AC583" s="50"/>
      <c r="AD583" s="51"/>
      <c r="AE583" s="52"/>
      <c r="AF583" s="36" t="s">
        <v>75</v>
      </c>
    </row>
    <row r="584" spans="2:32" ht="28.5" x14ac:dyDescent="0.3">
      <c r="B584" s="36"/>
      <c r="C584" s="36"/>
      <c r="E584" s="33"/>
      <c r="F584" s="33"/>
      <c r="G584" s="33"/>
      <c r="H584" s="33"/>
      <c r="I584" s="33"/>
      <c r="J584" s="36"/>
      <c r="K584" s="374" t="s">
        <v>293</v>
      </c>
      <c r="L584" s="375" t="s">
        <v>291</v>
      </c>
      <c r="M584" s="362" t="s">
        <v>1299</v>
      </c>
      <c r="N584" s="36" t="s">
        <v>815</v>
      </c>
      <c r="O584" s="36" t="s">
        <v>815</v>
      </c>
      <c r="P584" s="50"/>
      <c r="Q584" s="36" t="s">
        <v>815</v>
      </c>
      <c r="R584" s="36"/>
      <c r="S584" s="36" t="s">
        <v>815</v>
      </c>
      <c r="T584" s="36"/>
      <c r="U584" s="36" t="s">
        <v>815</v>
      </c>
      <c r="V584" s="36"/>
      <c r="W584" s="36" t="s">
        <v>815</v>
      </c>
      <c r="X584" s="36"/>
      <c r="Y584" s="36" t="s">
        <v>815</v>
      </c>
      <c r="Z584" s="37"/>
      <c r="AA584" s="52" t="str">
        <f>AA583</f>
        <v>Dinas dikpora</v>
      </c>
      <c r="AB584" s="50">
        <f>18568*150</f>
        <v>2785200</v>
      </c>
      <c r="AC584" s="50">
        <f>21914*300</f>
        <v>6574200</v>
      </c>
      <c r="AD584" s="51" t="s">
        <v>84</v>
      </c>
      <c r="AE584" s="52" t="s">
        <v>81</v>
      </c>
      <c r="AF584" s="36"/>
    </row>
    <row r="585" spans="2:32" ht="28.5" x14ac:dyDescent="0.3">
      <c r="B585" s="36"/>
      <c r="C585" s="36"/>
      <c r="E585" s="33"/>
      <c r="F585" s="33"/>
      <c r="G585" s="33"/>
      <c r="H585" s="33"/>
      <c r="I585" s="33"/>
      <c r="J585" s="36"/>
      <c r="K585" s="37"/>
      <c r="L585" s="375" t="s">
        <v>291</v>
      </c>
      <c r="M585" s="362" t="s">
        <v>816</v>
      </c>
      <c r="N585" s="36" t="s">
        <v>817</v>
      </c>
      <c r="O585" s="36" t="s">
        <v>817</v>
      </c>
      <c r="P585" s="50"/>
      <c r="Q585" s="36" t="s">
        <v>817</v>
      </c>
      <c r="R585" s="36"/>
      <c r="S585" s="36" t="s">
        <v>817</v>
      </c>
      <c r="T585" s="36"/>
      <c r="U585" s="36" t="s">
        <v>817</v>
      </c>
      <c r="V585" s="36"/>
      <c r="W585" s="36" t="s">
        <v>817</v>
      </c>
      <c r="X585" s="36"/>
      <c r="Y585" s="36" t="s">
        <v>817</v>
      </c>
      <c r="Z585" s="37"/>
      <c r="AA585" s="52"/>
      <c r="AB585" s="50">
        <f>325250-190000</f>
        <v>135250</v>
      </c>
      <c r="AC585" s="50">
        <f>AB585+(AB585*10%)</f>
        <v>148775</v>
      </c>
      <c r="AD585" s="51" t="s">
        <v>66</v>
      </c>
      <c r="AE585" s="52" t="s">
        <v>81</v>
      </c>
      <c r="AF585" s="36"/>
    </row>
    <row r="586" spans="2:32" ht="28.5" x14ac:dyDescent="0.3">
      <c r="B586" s="36"/>
      <c r="C586" s="36"/>
      <c r="E586" s="33"/>
      <c r="F586" s="33"/>
      <c r="G586" s="33"/>
      <c r="H586" s="33"/>
      <c r="I586" s="33"/>
      <c r="J586" s="36"/>
      <c r="K586" s="374" t="s">
        <v>294</v>
      </c>
      <c r="L586" s="375" t="s">
        <v>291</v>
      </c>
      <c r="M586" s="362" t="s">
        <v>1480</v>
      </c>
      <c r="N586" s="41">
        <v>1</v>
      </c>
      <c r="O586" s="41">
        <v>1</v>
      </c>
      <c r="P586" s="50"/>
      <c r="Q586" s="41">
        <v>1</v>
      </c>
      <c r="R586" s="36"/>
      <c r="S586" s="41">
        <v>1</v>
      </c>
      <c r="T586" s="36"/>
      <c r="U586" s="41">
        <v>1</v>
      </c>
      <c r="V586" s="36"/>
      <c r="W586" s="41">
        <v>1</v>
      </c>
      <c r="X586" s="36"/>
      <c r="Y586" s="41">
        <v>1</v>
      </c>
      <c r="Z586" s="37"/>
      <c r="AA586" s="52"/>
      <c r="AB586" s="50"/>
      <c r="AC586" s="50"/>
      <c r="AD586" s="51"/>
      <c r="AE586" s="52"/>
      <c r="AF586" s="36"/>
    </row>
    <row r="587" spans="2:32" x14ac:dyDescent="0.3">
      <c r="B587" s="36"/>
      <c r="C587" s="36"/>
      <c r="E587" s="33"/>
      <c r="F587" s="33"/>
      <c r="G587" s="33"/>
      <c r="H587" s="33"/>
      <c r="I587" s="33"/>
      <c r="J587" s="36"/>
      <c r="K587" s="374" t="s">
        <v>295</v>
      </c>
      <c r="L587" s="375" t="s">
        <v>291</v>
      </c>
      <c r="M587" s="384" t="s">
        <v>1459</v>
      </c>
      <c r="N587" s="36"/>
      <c r="O587" s="36"/>
      <c r="P587" s="50"/>
      <c r="Q587" s="36"/>
      <c r="R587" s="36"/>
      <c r="S587" s="36"/>
      <c r="T587" s="36"/>
      <c r="U587" s="36"/>
      <c r="V587" s="36"/>
      <c r="W587" s="36"/>
      <c r="X587" s="36"/>
      <c r="Y587" s="36"/>
      <c r="Z587" s="37"/>
      <c r="AA587" s="52"/>
      <c r="AB587" s="50"/>
      <c r="AC587" s="50"/>
      <c r="AD587" s="51"/>
      <c r="AE587" s="52"/>
      <c r="AF587" s="36"/>
    </row>
    <row r="588" spans="2:32" x14ac:dyDescent="0.3">
      <c r="B588" s="92"/>
      <c r="C588" s="92"/>
      <c r="D588" s="445"/>
      <c r="E588" s="91"/>
      <c r="F588" s="91"/>
      <c r="G588" s="91"/>
      <c r="H588" s="91"/>
      <c r="I588" s="91"/>
      <c r="J588" s="92"/>
      <c r="K588" s="377" t="s">
        <v>297</v>
      </c>
      <c r="L588" s="378" t="s">
        <v>291</v>
      </c>
      <c r="M588" s="385" t="s">
        <v>501</v>
      </c>
      <c r="N588" s="92"/>
      <c r="O588" s="92"/>
      <c r="P588" s="93"/>
      <c r="Q588" s="92"/>
      <c r="R588" s="92"/>
      <c r="S588" s="92"/>
      <c r="T588" s="92"/>
      <c r="U588" s="92"/>
      <c r="V588" s="92"/>
      <c r="W588" s="92"/>
      <c r="X588" s="92"/>
      <c r="Y588" s="92"/>
      <c r="Z588" s="101"/>
      <c r="AA588" s="95"/>
      <c r="AB588" s="93"/>
      <c r="AC588" s="93"/>
      <c r="AD588" s="94"/>
      <c r="AE588" s="95"/>
      <c r="AF588" s="92"/>
    </row>
    <row r="589" spans="2:32" x14ac:dyDescent="0.3">
      <c r="B589" s="36"/>
      <c r="C589" s="36"/>
      <c r="E589" s="33"/>
      <c r="F589" s="33"/>
      <c r="G589" s="33"/>
      <c r="H589" s="33"/>
      <c r="I589" s="33"/>
      <c r="J589" s="36"/>
      <c r="K589" s="37"/>
      <c r="L589" s="375"/>
      <c r="M589" s="362"/>
      <c r="N589" s="36"/>
      <c r="O589" s="36"/>
      <c r="P589" s="50"/>
      <c r="Q589" s="36"/>
      <c r="R589" s="36"/>
      <c r="S589" s="36"/>
      <c r="T589" s="36"/>
      <c r="U589" s="36"/>
      <c r="V589" s="36"/>
      <c r="W589" s="36"/>
      <c r="X589" s="36"/>
      <c r="Y589" s="36"/>
      <c r="Z589" s="37"/>
      <c r="AA589" s="52"/>
      <c r="AB589" s="50"/>
      <c r="AC589" s="50"/>
      <c r="AD589" s="51"/>
      <c r="AE589" s="52"/>
      <c r="AF589" s="36"/>
    </row>
    <row r="590" spans="2:32" ht="28.5" x14ac:dyDescent="0.3">
      <c r="B590" s="36"/>
      <c r="C590" s="36"/>
      <c r="E590" s="26"/>
      <c r="F590" s="26"/>
      <c r="G590" s="26"/>
      <c r="H590" s="26"/>
      <c r="I590" s="26"/>
      <c r="J590" s="27" t="s">
        <v>60</v>
      </c>
      <c r="K590" s="35"/>
      <c r="L590" s="39"/>
      <c r="M590" s="362"/>
      <c r="N590" s="36"/>
      <c r="O590" s="36"/>
      <c r="P590" s="82"/>
      <c r="Q590" s="36"/>
      <c r="R590" s="36"/>
      <c r="S590" s="36"/>
      <c r="T590" s="36"/>
      <c r="U590" s="36"/>
      <c r="V590" s="36"/>
      <c r="W590" s="36"/>
      <c r="X590" s="36"/>
      <c r="Y590" s="36"/>
      <c r="Z590" s="37"/>
      <c r="AA590" s="75"/>
      <c r="AB590" s="50">
        <f>9*50000</f>
        <v>450000</v>
      </c>
      <c r="AC590" s="50">
        <f>AB590+(AB590*10%)</f>
        <v>495000</v>
      </c>
      <c r="AD590" s="51" t="str">
        <f>AD570</f>
        <v>Dinas Dikpora</v>
      </c>
      <c r="AE590" s="52" t="s">
        <v>81</v>
      </c>
      <c r="AF590" s="27"/>
    </row>
    <row r="591" spans="2:32" s="87" customFormat="1" ht="121.5" x14ac:dyDescent="0.25">
      <c r="B591" s="504" t="s">
        <v>1560</v>
      </c>
      <c r="C591" s="504" t="s">
        <v>1562</v>
      </c>
      <c r="D591" s="27" t="s">
        <v>1554</v>
      </c>
      <c r="E591" s="26">
        <v>1</v>
      </c>
      <c r="F591" s="69" t="s">
        <v>131</v>
      </c>
      <c r="G591" s="69" t="s">
        <v>131</v>
      </c>
      <c r="H591" s="26">
        <v>18</v>
      </c>
      <c r="I591" s="26"/>
      <c r="J591" s="27" t="s">
        <v>186</v>
      </c>
      <c r="K591" s="496" t="s">
        <v>1300</v>
      </c>
      <c r="L591" s="497"/>
      <c r="M591" s="498"/>
      <c r="N591" s="372">
        <v>0.57999999999999996</v>
      </c>
      <c r="O591" s="372">
        <v>0.57999999999999996</v>
      </c>
      <c r="P591" s="82">
        <f>SUM(P592:P660)</f>
        <v>2477246600</v>
      </c>
      <c r="Q591" s="372">
        <v>0.57999999999999996</v>
      </c>
      <c r="R591" s="82">
        <f>SUM(R592:R660)</f>
        <v>2724971260</v>
      </c>
      <c r="S591" s="372">
        <v>0.57999999999999996</v>
      </c>
      <c r="T591" s="82">
        <f>SUM(T592:T660)</f>
        <v>2997468386</v>
      </c>
      <c r="U591" s="372">
        <v>0.57999999999999996</v>
      </c>
      <c r="V591" s="82">
        <f>SUM(V592:V660)</f>
        <v>3297215224.5999999</v>
      </c>
      <c r="W591" s="372">
        <v>0.57999999999999996</v>
      </c>
      <c r="X591" s="82">
        <f>SUM(X592:X660)</f>
        <v>3626936747.0599999</v>
      </c>
      <c r="Y591" s="372">
        <v>0.57999999999999996</v>
      </c>
      <c r="Z591" s="430">
        <f>X591+V591+T591+R591+P591</f>
        <v>15123838217.66</v>
      </c>
      <c r="AA591" s="75"/>
      <c r="AB591" s="82"/>
      <c r="AC591" s="82">
        <f t="shared" si="24"/>
        <v>0</v>
      </c>
      <c r="AD591" s="83"/>
      <c r="AE591" s="75"/>
      <c r="AF591" s="27" t="s">
        <v>187</v>
      </c>
    </row>
    <row r="592" spans="2:32" ht="28.5" x14ac:dyDescent="0.3">
      <c r="B592" s="504"/>
      <c r="C592" s="504"/>
      <c r="E592" s="33"/>
      <c r="F592" s="33"/>
      <c r="G592" s="33"/>
      <c r="H592" s="33"/>
      <c r="I592" s="33"/>
      <c r="J592" s="36"/>
      <c r="K592" s="37"/>
      <c r="L592" s="46"/>
      <c r="M592" s="362"/>
      <c r="N592" s="372"/>
      <c r="O592" s="372"/>
      <c r="P592" s="50"/>
      <c r="Q592" s="372"/>
      <c r="R592" s="36"/>
      <c r="S592" s="372"/>
      <c r="T592" s="36"/>
      <c r="U592" s="372"/>
      <c r="V592" s="36"/>
      <c r="W592" s="372"/>
      <c r="X592" s="36"/>
      <c r="Y592" s="372"/>
      <c r="Z592" s="37"/>
      <c r="AA592" s="52"/>
      <c r="AB592" s="50">
        <f>(2*5000)+(500*72)+(50*240)+(100*350)+334962+(8115*30)</f>
        <v>671412</v>
      </c>
      <c r="AC592" s="50">
        <f t="shared" si="24"/>
        <v>738553.2</v>
      </c>
      <c r="AD592" s="51" t="s">
        <v>84</v>
      </c>
      <c r="AE592" s="52" t="s">
        <v>81</v>
      </c>
      <c r="AF592" s="36"/>
    </row>
    <row r="593" spans="2:32" x14ac:dyDescent="0.3">
      <c r="B593" s="504"/>
      <c r="C593" s="504"/>
      <c r="E593" s="33">
        <v>1</v>
      </c>
      <c r="F593" s="70" t="s">
        <v>131</v>
      </c>
      <c r="G593" s="70" t="s">
        <v>131</v>
      </c>
      <c r="H593" s="33">
        <v>18</v>
      </c>
      <c r="I593" s="34">
        <v>2</v>
      </c>
      <c r="J593" s="36" t="s">
        <v>188</v>
      </c>
      <c r="K593" s="374" t="s">
        <v>290</v>
      </c>
      <c r="L593" s="375" t="s">
        <v>291</v>
      </c>
      <c r="M593" s="375" t="s">
        <v>292</v>
      </c>
      <c r="N593" s="36" t="s">
        <v>301</v>
      </c>
      <c r="O593" s="36" t="s">
        <v>301</v>
      </c>
      <c r="P593" s="50">
        <v>31700000</v>
      </c>
      <c r="Q593" s="36" t="s">
        <v>301</v>
      </c>
      <c r="R593" s="431">
        <f>P593+(P593*10%)</f>
        <v>34870000</v>
      </c>
      <c r="S593" s="36" t="s">
        <v>301</v>
      </c>
      <c r="T593" s="431">
        <f>R593+(R593*10%)</f>
        <v>38357000</v>
      </c>
      <c r="U593" s="36" t="s">
        <v>301</v>
      </c>
      <c r="V593" s="431">
        <f>T593+(T593*10%)</f>
        <v>42192700</v>
      </c>
      <c r="W593" s="36" t="s">
        <v>301</v>
      </c>
      <c r="X593" s="431">
        <f>V593+(V593*10%)</f>
        <v>46411970</v>
      </c>
      <c r="Y593" s="36" t="s">
        <v>301</v>
      </c>
      <c r="Z593" s="431">
        <f>X593+V593+T593+R593+P593</f>
        <v>193531670</v>
      </c>
      <c r="AA593" s="52" t="s">
        <v>66</v>
      </c>
      <c r="AB593" s="50"/>
      <c r="AC593" s="50"/>
      <c r="AD593" s="51"/>
      <c r="AE593" s="52"/>
      <c r="AF593" s="36" t="s">
        <v>156</v>
      </c>
    </row>
    <row r="594" spans="2:32" ht="28.5" x14ac:dyDescent="0.3">
      <c r="B594" s="504"/>
      <c r="C594" s="504"/>
      <c r="E594" s="33"/>
      <c r="F594" s="33"/>
      <c r="G594" s="33"/>
      <c r="H594" s="33"/>
      <c r="I594" s="33"/>
      <c r="J594" s="36"/>
      <c r="K594" s="374" t="s">
        <v>293</v>
      </c>
      <c r="L594" s="375" t="s">
        <v>291</v>
      </c>
      <c r="M594" s="362" t="s">
        <v>1301</v>
      </c>
      <c r="N594" s="36" t="s">
        <v>1124</v>
      </c>
      <c r="O594" s="36" t="s">
        <v>1124</v>
      </c>
      <c r="P594" s="50"/>
      <c r="Q594" s="36" t="s">
        <v>1124</v>
      </c>
      <c r="R594" s="36"/>
      <c r="S594" s="36" t="s">
        <v>1124</v>
      </c>
      <c r="T594" s="36"/>
      <c r="U594" s="36" t="s">
        <v>1124</v>
      </c>
      <c r="V594" s="36"/>
      <c r="W594" s="36" t="s">
        <v>1124</v>
      </c>
      <c r="X594" s="36"/>
      <c r="Y594" s="36" t="s">
        <v>1124</v>
      </c>
      <c r="Z594" s="37"/>
      <c r="AA594" s="52"/>
      <c r="AB594" s="50"/>
      <c r="AC594" s="50"/>
      <c r="AD594" s="51"/>
      <c r="AE594" s="52"/>
      <c r="AF594" s="36"/>
    </row>
    <row r="595" spans="2:32" ht="28.5" x14ac:dyDescent="0.3">
      <c r="B595" s="504"/>
      <c r="C595" s="504"/>
      <c r="E595" s="33"/>
      <c r="F595" s="33"/>
      <c r="G595" s="33"/>
      <c r="H595" s="33"/>
      <c r="I595" s="33"/>
      <c r="J595" s="36"/>
      <c r="K595" s="37"/>
      <c r="L595" s="375" t="s">
        <v>291</v>
      </c>
      <c r="M595" s="362" t="s">
        <v>764</v>
      </c>
      <c r="N595" s="36" t="s">
        <v>1124</v>
      </c>
      <c r="O595" s="36" t="s">
        <v>1124</v>
      </c>
      <c r="P595" s="50"/>
      <c r="Q595" s="36" t="s">
        <v>1124</v>
      </c>
      <c r="R595" s="36"/>
      <c r="S595" s="36" t="s">
        <v>1124</v>
      </c>
      <c r="T595" s="36"/>
      <c r="U595" s="36" t="s">
        <v>1124</v>
      </c>
      <c r="V595" s="36"/>
      <c r="W595" s="36" t="s">
        <v>1124</v>
      </c>
      <c r="X595" s="36"/>
      <c r="Y595" s="36" t="s">
        <v>1124</v>
      </c>
      <c r="Z595" s="37"/>
      <c r="AA595" s="52"/>
      <c r="AB595" s="50">
        <v>24897</v>
      </c>
      <c r="AC595" s="50">
        <f>AB595+(AB595*10%)</f>
        <v>27386.7</v>
      </c>
      <c r="AD595" s="51" t="s">
        <v>84</v>
      </c>
      <c r="AE595" s="52" t="s">
        <v>81</v>
      </c>
      <c r="AF595" s="36"/>
    </row>
    <row r="596" spans="2:32" s="73" customFormat="1" ht="28.5" x14ac:dyDescent="0.3">
      <c r="B596" s="36"/>
      <c r="C596" s="36"/>
      <c r="D596" s="14"/>
      <c r="E596" s="33"/>
      <c r="F596" s="33"/>
      <c r="G596" s="33"/>
      <c r="H596" s="33"/>
      <c r="I596" s="33"/>
      <c r="J596" s="36"/>
      <c r="K596" s="37"/>
      <c r="L596" s="375" t="s">
        <v>291</v>
      </c>
      <c r="M596" s="362" t="s">
        <v>1302</v>
      </c>
      <c r="N596" s="36" t="s">
        <v>1158</v>
      </c>
      <c r="O596" s="36" t="s">
        <v>1158</v>
      </c>
      <c r="P596" s="50"/>
      <c r="Q596" s="36" t="s">
        <v>1158</v>
      </c>
      <c r="R596" s="36"/>
      <c r="S596" s="36" t="s">
        <v>1158</v>
      </c>
      <c r="T596" s="36"/>
      <c r="U596" s="36" t="s">
        <v>1158</v>
      </c>
      <c r="V596" s="36"/>
      <c r="W596" s="36" t="s">
        <v>1158</v>
      </c>
      <c r="X596" s="36"/>
      <c r="Y596" s="36" t="s">
        <v>1158</v>
      </c>
      <c r="Z596" s="37"/>
      <c r="AA596" s="52"/>
      <c r="AB596" s="50">
        <v>161097</v>
      </c>
      <c r="AC596" s="50">
        <f>AB596+(AB596*10%)</f>
        <v>177206.7</v>
      </c>
      <c r="AD596" s="51" t="str">
        <f>AD595</f>
        <v>Dinas dikpora</v>
      </c>
      <c r="AE596" s="52" t="s">
        <v>81</v>
      </c>
      <c r="AF596" s="36"/>
    </row>
    <row r="597" spans="2:32" x14ac:dyDescent="0.3">
      <c r="B597" s="36"/>
      <c r="C597" s="36"/>
      <c r="E597" s="33"/>
      <c r="F597" s="33"/>
      <c r="G597" s="33"/>
      <c r="H597" s="33"/>
      <c r="I597" s="33"/>
      <c r="J597" s="36"/>
      <c r="K597" s="37"/>
      <c r="L597" s="375" t="s">
        <v>291</v>
      </c>
      <c r="M597" s="362" t="s">
        <v>1303</v>
      </c>
      <c r="N597" s="36" t="s">
        <v>1158</v>
      </c>
      <c r="O597" s="36" t="s">
        <v>1158</v>
      </c>
      <c r="P597" s="50"/>
      <c r="Q597" s="36" t="s">
        <v>1158</v>
      </c>
      <c r="R597" s="36"/>
      <c r="S597" s="36" t="s">
        <v>1158</v>
      </c>
      <c r="T597" s="36"/>
      <c r="U597" s="36" t="s">
        <v>1158</v>
      </c>
      <c r="V597" s="36"/>
      <c r="W597" s="36" t="s">
        <v>1158</v>
      </c>
      <c r="X597" s="36"/>
      <c r="Y597" s="36" t="s">
        <v>1158</v>
      </c>
      <c r="Z597" s="37"/>
      <c r="AA597" s="52"/>
      <c r="AB597" s="50"/>
      <c r="AC597" s="50"/>
      <c r="AD597" s="51"/>
      <c r="AE597" s="52"/>
      <c r="AF597" s="36"/>
    </row>
    <row r="598" spans="2:32" x14ac:dyDescent="0.3">
      <c r="B598" s="36"/>
      <c r="C598" s="36"/>
      <c r="E598" s="33"/>
      <c r="F598" s="33"/>
      <c r="G598" s="33"/>
      <c r="H598" s="33"/>
      <c r="I598" s="33"/>
      <c r="J598" s="36"/>
      <c r="K598" s="37"/>
      <c r="L598" s="375" t="s">
        <v>291</v>
      </c>
      <c r="M598" s="362" t="s">
        <v>1304</v>
      </c>
      <c r="N598" s="36" t="s">
        <v>1158</v>
      </c>
      <c r="O598" s="36" t="s">
        <v>1158</v>
      </c>
      <c r="P598" s="50"/>
      <c r="Q598" s="36" t="s">
        <v>1158</v>
      </c>
      <c r="R598" s="36"/>
      <c r="S598" s="36" t="s">
        <v>1158</v>
      </c>
      <c r="T598" s="36"/>
      <c r="U598" s="36" t="s">
        <v>1158</v>
      </c>
      <c r="V598" s="36"/>
      <c r="W598" s="36" t="s">
        <v>1158</v>
      </c>
      <c r="X598" s="36"/>
      <c r="Y598" s="36" t="s">
        <v>1158</v>
      </c>
      <c r="Z598" s="37"/>
      <c r="AA598" s="52"/>
      <c r="AB598" s="50"/>
      <c r="AC598" s="50"/>
      <c r="AD598" s="51"/>
      <c r="AE598" s="52"/>
      <c r="AF598" s="36"/>
    </row>
    <row r="599" spans="2:32" ht="28.5" x14ac:dyDescent="0.3">
      <c r="B599" s="36"/>
      <c r="C599" s="36"/>
      <c r="E599" s="33"/>
      <c r="F599" s="33"/>
      <c r="G599" s="33"/>
      <c r="H599" s="33"/>
      <c r="I599" s="33"/>
      <c r="J599" s="36"/>
      <c r="K599" s="37"/>
      <c r="L599" s="375" t="s">
        <v>291</v>
      </c>
      <c r="M599" s="362" t="s">
        <v>768</v>
      </c>
      <c r="N599" s="36" t="s">
        <v>738</v>
      </c>
      <c r="O599" s="36" t="s">
        <v>738</v>
      </c>
      <c r="P599" s="50"/>
      <c r="Q599" s="36" t="s">
        <v>738</v>
      </c>
      <c r="R599" s="36"/>
      <c r="S599" s="36" t="s">
        <v>738</v>
      </c>
      <c r="T599" s="36"/>
      <c r="U599" s="36" t="s">
        <v>738</v>
      </c>
      <c r="V599" s="36"/>
      <c r="W599" s="36" t="s">
        <v>738</v>
      </c>
      <c r="X599" s="36"/>
      <c r="Y599" s="36" t="s">
        <v>738</v>
      </c>
      <c r="Z599" s="37"/>
      <c r="AA599" s="52"/>
      <c r="AB599" s="50"/>
      <c r="AC599" s="50"/>
      <c r="AD599" s="51"/>
      <c r="AE599" s="52"/>
      <c r="AF599" s="36"/>
    </row>
    <row r="600" spans="2:32" ht="28.5" x14ac:dyDescent="0.3">
      <c r="B600" s="36"/>
      <c r="C600" s="36"/>
      <c r="E600" s="33"/>
      <c r="F600" s="33"/>
      <c r="G600" s="33"/>
      <c r="H600" s="33"/>
      <c r="I600" s="33"/>
      <c r="J600" s="36"/>
      <c r="K600" s="374" t="s">
        <v>294</v>
      </c>
      <c r="L600" s="375" t="s">
        <v>291</v>
      </c>
      <c r="M600" s="362" t="s">
        <v>1481</v>
      </c>
      <c r="N600" s="41">
        <v>1</v>
      </c>
      <c r="O600" s="41">
        <v>1</v>
      </c>
      <c r="P600" s="50"/>
      <c r="Q600" s="41">
        <v>1</v>
      </c>
      <c r="R600" s="36"/>
      <c r="S600" s="41">
        <v>1</v>
      </c>
      <c r="T600" s="36"/>
      <c r="U600" s="41">
        <v>1</v>
      </c>
      <c r="V600" s="36"/>
      <c r="W600" s="41">
        <v>1</v>
      </c>
      <c r="X600" s="36"/>
      <c r="Y600" s="41">
        <v>1</v>
      </c>
      <c r="Z600" s="37"/>
      <c r="AA600" s="52"/>
      <c r="AB600" s="50"/>
      <c r="AC600" s="50"/>
      <c r="AD600" s="51"/>
      <c r="AE600" s="52"/>
      <c r="AF600" s="36"/>
    </row>
    <row r="601" spans="2:32" x14ac:dyDescent="0.3">
      <c r="B601" s="36"/>
      <c r="C601" s="36"/>
      <c r="E601" s="33"/>
      <c r="F601" s="33"/>
      <c r="G601" s="33"/>
      <c r="H601" s="33"/>
      <c r="I601" s="33"/>
      <c r="J601" s="36"/>
      <c r="K601" s="374" t="s">
        <v>295</v>
      </c>
      <c r="L601" s="375" t="s">
        <v>291</v>
      </c>
      <c r="M601" s="384" t="s">
        <v>346</v>
      </c>
      <c r="N601" s="36"/>
      <c r="O601" s="36"/>
      <c r="P601" s="50"/>
      <c r="Q601" s="36"/>
      <c r="R601" s="36"/>
      <c r="S601" s="36"/>
      <c r="T601" s="36"/>
      <c r="U601" s="36"/>
      <c r="V601" s="36"/>
      <c r="W601" s="36"/>
      <c r="X601" s="36"/>
      <c r="Y601" s="36"/>
      <c r="Z601" s="37"/>
      <c r="AA601" s="52"/>
      <c r="AB601" s="50"/>
      <c r="AC601" s="50"/>
      <c r="AD601" s="51"/>
      <c r="AE601" s="52"/>
      <c r="AF601" s="36"/>
    </row>
    <row r="602" spans="2:32" x14ac:dyDescent="0.3">
      <c r="B602" s="92"/>
      <c r="C602" s="92"/>
      <c r="D602" s="445"/>
      <c r="E602" s="91"/>
      <c r="F602" s="91"/>
      <c r="G602" s="91"/>
      <c r="H602" s="91"/>
      <c r="I602" s="91"/>
      <c r="J602" s="92"/>
      <c r="K602" s="377" t="s">
        <v>297</v>
      </c>
      <c r="L602" s="378" t="s">
        <v>291</v>
      </c>
      <c r="M602" s="385" t="s">
        <v>298</v>
      </c>
      <c r="N602" s="92"/>
      <c r="O602" s="92"/>
      <c r="P602" s="93"/>
      <c r="Q602" s="92"/>
      <c r="R602" s="92"/>
      <c r="S602" s="92"/>
      <c r="T602" s="92"/>
      <c r="U602" s="92"/>
      <c r="V602" s="92"/>
      <c r="W602" s="92"/>
      <c r="X602" s="92"/>
      <c r="Y602" s="92"/>
      <c r="Z602" s="101"/>
      <c r="AA602" s="95"/>
      <c r="AB602" s="93"/>
      <c r="AC602" s="93"/>
      <c r="AD602" s="94"/>
      <c r="AE602" s="95"/>
      <c r="AF602" s="92"/>
    </row>
    <row r="603" spans="2:32" x14ac:dyDescent="0.3">
      <c r="B603" s="36"/>
      <c r="C603" s="36"/>
      <c r="E603" s="33"/>
      <c r="F603" s="33"/>
      <c r="G603" s="33"/>
      <c r="H603" s="33"/>
      <c r="I603" s="33"/>
      <c r="J603" s="36"/>
      <c r="K603" s="37"/>
      <c r="L603" s="375"/>
      <c r="M603" s="362"/>
      <c r="N603" s="36"/>
      <c r="O603" s="36"/>
      <c r="P603" s="50"/>
      <c r="Q603" s="36"/>
      <c r="R603" s="36"/>
      <c r="S603" s="36"/>
      <c r="T603" s="36"/>
      <c r="U603" s="36"/>
      <c r="V603" s="36"/>
      <c r="W603" s="36"/>
      <c r="X603" s="36"/>
      <c r="Y603" s="36"/>
      <c r="Z603" s="37"/>
      <c r="AA603" s="52"/>
      <c r="AB603" s="50"/>
      <c r="AC603" s="50"/>
      <c r="AD603" s="51"/>
      <c r="AE603" s="52"/>
      <c r="AF603" s="36"/>
    </row>
    <row r="604" spans="2:32" s="73" customFormat="1" ht="28.5" x14ac:dyDescent="0.3">
      <c r="B604" s="36"/>
      <c r="C604" s="36"/>
      <c r="D604" s="14"/>
      <c r="E604" s="33">
        <v>1</v>
      </c>
      <c r="F604" s="70" t="s">
        <v>131</v>
      </c>
      <c r="G604" s="70" t="s">
        <v>131</v>
      </c>
      <c r="H604" s="33">
        <v>18</v>
      </c>
      <c r="I604" s="34">
        <v>5</v>
      </c>
      <c r="J604" s="36" t="s">
        <v>190</v>
      </c>
      <c r="K604" s="374" t="s">
        <v>290</v>
      </c>
      <c r="L604" s="375" t="s">
        <v>291</v>
      </c>
      <c r="M604" s="375" t="s">
        <v>292</v>
      </c>
      <c r="N604" s="36" t="s">
        <v>301</v>
      </c>
      <c r="O604" s="36" t="s">
        <v>301</v>
      </c>
      <c r="P604" s="50">
        <v>2920000</v>
      </c>
      <c r="Q604" s="36" t="s">
        <v>301</v>
      </c>
      <c r="R604" s="431">
        <f>P604+(P604*10%)</f>
        <v>3212000</v>
      </c>
      <c r="S604" s="36" t="s">
        <v>301</v>
      </c>
      <c r="T604" s="431">
        <f>R604+(R604*10%)</f>
        <v>3533200</v>
      </c>
      <c r="U604" s="36" t="s">
        <v>301</v>
      </c>
      <c r="V604" s="431">
        <f>T604+(T604*10%)</f>
        <v>3886520</v>
      </c>
      <c r="W604" s="36" t="s">
        <v>301</v>
      </c>
      <c r="X604" s="431">
        <f>V604+(V604*10%)</f>
        <v>4275172</v>
      </c>
      <c r="Y604" s="36" t="s">
        <v>301</v>
      </c>
      <c r="Z604" s="431">
        <f>X604+V604+T604+R604+P604</f>
        <v>17826892</v>
      </c>
      <c r="AA604" s="52" t="s">
        <v>66</v>
      </c>
      <c r="AB604" s="50">
        <v>64750</v>
      </c>
      <c r="AC604" s="50">
        <f>AB604+(AB604*5%)</f>
        <v>67987.5</v>
      </c>
      <c r="AD604" s="51" t="e">
        <f>#REF!</f>
        <v>#REF!</v>
      </c>
      <c r="AE604" s="52" t="s">
        <v>81</v>
      </c>
      <c r="AF604" s="36" t="s">
        <v>156</v>
      </c>
    </row>
    <row r="605" spans="2:32" ht="28.5" x14ac:dyDescent="0.3">
      <c r="B605" s="36"/>
      <c r="C605" s="36"/>
      <c r="E605" s="33"/>
      <c r="F605" s="33"/>
      <c r="G605" s="33"/>
      <c r="H605" s="33"/>
      <c r="I605" s="33"/>
      <c r="J605" s="36"/>
      <c r="K605" s="374" t="s">
        <v>293</v>
      </c>
      <c r="L605" s="375" t="s">
        <v>291</v>
      </c>
      <c r="M605" s="362" t="s">
        <v>1305</v>
      </c>
      <c r="N605" s="36" t="s">
        <v>1147</v>
      </c>
      <c r="O605" s="36" t="s">
        <v>1147</v>
      </c>
      <c r="P605" s="50"/>
      <c r="Q605" s="36" t="s">
        <v>1147</v>
      </c>
      <c r="R605" s="36"/>
      <c r="S605" s="36" t="s">
        <v>1147</v>
      </c>
      <c r="T605" s="36"/>
      <c r="U605" s="36" t="s">
        <v>1147</v>
      </c>
      <c r="V605" s="36"/>
      <c r="W605" s="36" t="s">
        <v>1147</v>
      </c>
      <c r="X605" s="36"/>
      <c r="Y605" s="36" t="s">
        <v>1147</v>
      </c>
      <c r="Z605" s="37"/>
      <c r="AA605" s="52"/>
      <c r="AB605" s="50"/>
      <c r="AC605" s="50"/>
      <c r="AD605" s="51"/>
      <c r="AE605" s="52"/>
      <c r="AF605" s="36"/>
    </row>
    <row r="606" spans="2:32" ht="28.5" x14ac:dyDescent="0.3">
      <c r="B606" s="36"/>
      <c r="C606" s="36"/>
      <c r="E606" s="33"/>
      <c r="F606" s="33"/>
      <c r="G606" s="33"/>
      <c r="H606" s="33"/>
      <c r="I606" s="33"/>
      <c r="J606" s="36"/>
      <c r="K606" s="37"/>
      <c r="L606" s="375" t="s">
        <v>291</v>
      </c>
      <c r="M606" s="362" t="s">
        <v>1306</v>
      </c>
      <c r="N606" s="36" t="s">
        <v>1147</v>
      </c>
      <c r="O606" s="36" t="s">
        <v>1147</v>
      </c>
      <c r="P606" s="50"/>
      <c r="Q606" s="36" t="s">
        <v>1147</v>
      </c>
      <c r="R606" s="36"/>
      <c r="S606" s="36" t="s">
        <v>1147</v>
      </c>
      <c r="T606" s="36"/>
      <c r="U606" s="36" t="s">
        <v>1147</v>
      </c>
      <c r="V606" s="36"/>
      <c r="W606" s="36" t="s">
        <v>1147</v>
      </c>
      <c r="X606" s="36"/>
      <c r="Y606" s="36" t="s">
        <v>1147</v>
      </c>
      <c r="Z606" s="37"/>
      <c r="AA606" s="52"/>
      <c r="AB606" s="50">
        <f>57*5000</f>
        <v>285000</v>
      </c>
      <c r="AC606" s="50">
        <f>AB606+(AB606*5%)</f>
        <v>299250</v>
      </c>
      <c r="AD606" s="51" t="e">
        <f>#REF!</f>
        <v>#REF!</v>
      </c>
      <c r="AE606" s="52" t="e">
        <f>#REF!</f>
        <v>#REF!</v>
      </c>
      <c r="AF606" s="36"/>
    </row>
    <row r="607" spans="2:32" s="32" customFormat="1" ht="28.5" x14ac:dyDescent="0.25">
      <c r="B607" s="27"/>
      <c r="C607" s="27"/>
      <c r="D607" s="434"/>
      <c r="E607" s="33"/>
      <c r="F607" s="33"/>
      <c r="G607" s="33"/>
      <c r="H607" s="33"/>
      <c r="I607" s="33"/>
      <c r="J607" s="36"/>
      <c r="K607" s="37"/>
      <c r="L607" s="375" t="s">
        <v>291</v>
      </c>
      <c r="M607" s="362" t="s">
        <v>632</v>
      </c>
      <c r="N607" s="36" t="s">
        <v>1134</v>
      </c>
      <c r="O607" s="36" t="s">
        <v>1134</v>
      </c>
      <c r="P607" s="50"/>
      <c r="Q607" s="36" t="s">
        <v>1134</v>
      </c>
      <c r="R607" s="27"/>
      <c r="S607" s="36" t="s">
        <v>1134</v>
      </c>
      <c r="T607" s="27"/>
      <c r="U607" s="36" t="s">
        <v>1134</v>
      </c>
      <c r="V607" s="27"/>
      <c r="W607" s="36" t="s">
        <v>1134</v>
      </c>
      <c r="X607" s="27"/>
      <c r="Y607" s="36" t="s">
        <v>1134</v>
      </c>
      <c r="Z607" s="35"/>
      <c r="AA607" s="52"/>
      <c r="AB607" s="82"/>
      <c r="AC607" s="82"/>
      <c r="AD607" s="83"/>
      <c r="AE607" s="75"/>
      <c r="AF607" s="36"/>
    </row>
    <row r="608" spans="2:32" ht="28.5" x14ac:dyDescent="0.3">
      <c r="B608" s="36"/>
      <c r="C608" s="36"/>
      <c r="E608" s="33"/>
      <c r="F608" s="33"/>
      <c r="G608" s="33"/>
      <c r="H608" s="33"/>
      <c r="I608" s="33"/>
      <c r="J608" s="36"/>
      <c r="K608" s="37"/>
      <c r="L608" s="375" t="s">
        <v>291</v>
      </c>
      <c r="M608" s="362" t="s">
        <v>1307</v>
      </c>
      <c r="N608" s="36" t="s">
        <v>1124</v>
      </c>
      <c r="O608" s="36" t="s">
        <v>1124</v>
      </c>
      <c r="P608" s="50"/>
      <c r="Q608" s="36" t="s">
        <v>1124</v>
      </c>
      <c r="R608" s="36"/>
      <c r="S608" s="36" t="s">
        <v>1124</v>
      </c>
      <c r="T608" s="36"/>
      <c r="U608" s="36" t="s">
        <v>1124</v>
      </c>
      <c r="V608" s="36"/>
      <c r="W608" s="36" t="s">
        <v>1124</v>
      </c>
      <c r="X608" s="36"/>
      <c r="Y608" s="36" t="s">
        <v>1124</v>
      </c>
      <c r="Z608" s="37"/>
      <c r="AA608" s="52"/>
      <c r="AB608" s="50"/>
      <c r="AC608" s="50"/>
      <c r="AD608" s="51"/>
      <c r="AE608" s="52"/>
      <c r="AF608" s="36"/>
    </row>
    <row r="609" spans="2:32" ht="28.5" x14ac:dyDescent="0.3">
      <c r="B609" s="36"/>
      <c r="C609" s="36"/>
      <c r="E609" s="33"/>
      <c r="F609" s="33"/>
      <c r="G609" s="33"/>
      <c r="H609" s="33"/>
      <c r="I609" s="33"/>
      <c r="J609" s="36"/>
      <c r="K609" s="37"/>
      <c r="L609" s="375" t="s">
        <v>291</v>
      </c>
      <c r="M609" s="362" t="s">
        <v>1308</v>
      </c>
      <c r="N609" s="36" t="s">
        <v>1158</v>
      </c>
      <c r="O609" s="36" t="s">
        <v>1158</v>
      </c>
      <c r="P609" s="50"/>
      <c r="Q609" s="36" t="s">
        <v>1158</v>
      </c>
      <c r="R609" s="36"/>
      <c r="S609" s="36" t="s">
        <v>1158</v>
      </c>
      <c r="T609" s="36"/>
      <c r="U609" s="36" t="s">
        <v>1158</v>
      </c>
      <c r="V609" s="36"/>
      <c r="W609" s="36" t="s">
        <v>1158</v>
      </c>
      <c r="X609" s="36"/>
      <c r="Y609" s="36" t="s">
        <v>1158</v>
      </c>
      <c r="Z609" s="37"/>
      <c r="AA609" s="52"/>
      <c r="AB609" s="50"/>
      <c r="AC609" s="50">
        <v>0</v>
      </c>
      <c r="AD609" s="51"/>
      <c r="AE609" s="52"/>
      <c r="AF609" s="36"/>
    </row>
    <row r="610" spans="2:32" x14ac:dyDescent="0.3">
      <c r="B610" s="36"/>
      <c r="C610" s="36"/>
      <c r="E610" s="33"/>
      <c r="F610" s="33"/>
      <c r="G610" s="33"/>
      <c r="H610" s="33"/>
      <c r="I610" s="33"/>
      <c r="J610" s="36"/>
      <c r="K610" s="374" t="s">
        <v>294</v>
      </c>
      <c r="L610" s="375" t="s">
        <v>291</v>
      </c>
      <c r="M610" s="362" t="s">
        <v>1482</v>
      </c>
      <c r="N610" s="41">
        <v>1</v>
      </c>
      <c r="O610" s="41">
        <v>1</v>
      </c>
      <c r="P610" s="50"/>
      <c r="Q610" s="41">
        <v>1</v>
      </c>
      <c r="R610" s="36"/>
      <c r="S610" s="41">
        <v>1</v>
      </c>
      <c r="T610" s="36"/>
      <c r="U610" s="41">
        <v>1</v>
      </c>
      <c r="V610" s="36"/>
      <c r="W610" s="41">
        <v>1</v>
      </c>
      <c r="X610" s="36"/>
      <c r="Y610" s="41">
        <v>1</v>
      </c>
      <c r="Z610" s="37"/>
      <c r="AA610" s="52"/>
      <c r="AB610" s="50"/>
      <c r="AC610" s="50"/>
      <c r="AD610" s="51"/>
      <c r="AE610" s="52"/>
      <c r="AF610" s="36"/>
    </row>
    <row r="611" spans="2:32" x14ac:dyDescent="0.3">
      <c r="B611" s="36"/>
      <c r="C611" s="36"/>
      <c r="E611" s="33"/>
      <c r="F611" s="33"/>
      <c r="G611" s="33"/>
      <c r="H611" s="33"/>
      <c r="I611" s="33"/>
      <c r="J611" s="36"/>
      <c r="K611" s="374" t="s">
        <v>295</v>
      </c>
      <c r="L611" s="375" t="s">
        <v>291</v>
      </c>
      <c r="M611" s="384" t="s">
        <v>1435</v>
      </c>
      <c r="N611" s="36"/>
      <c r="O611" s="36"/>
      <c r="P611" s="50"/>
      <c r="Q611" s="36"/>
      <c r="R611" s="36"/>
      <c r="S611" s="36"/>
      <c r="T611" s="36"/>
      <c r="U611" s="36"/>
      <c r="V611" s="36"/>
      <c r="W611" s="36"/>
      <c r="X611" s="36"/>
      <c r="Y611" s="36"/>
      <c r="Z611" s="37"/>
      <c r="AA611" s="52"/>
      <c r="AB611" s="50"/>
      <c r="AC611" s="50"/>
      <c r="AD611" s="51"/>
      <c r="AE611" s="52"/>
      <c r="AF611" s="36"/>
    </row>
    <row r="612" spans="2:32" x14ac:dyDescent="0.3">
      <c r="B612" s="92"/>
      <c r="C612" s="92"/>
      <c r="D612" s="445"/>
      <c r="E612" s="91"/>
      <c r="F612" s="91"/>
      <c r="G612" s="91"/>
      <c r="H612" s="91"/>
      <c r="I612" s="91"/>
      <c r="J612" s="92"/>
      <c r="K612" s="377" t="s">
        <v>297</v>
      </c>
      <c r="L612" s="378" t="s">
        <v>291</v>
      </c>
      <c r="M612" s="385" t="s">
        <v>1433</v>
      </c>
      <c r="N612" s="92"/>
      <c r="O612" s="92"/>
      <c r="P612" s="93"/>
      <c r="Q612" s="92"/>
      <c r="R612" s="92"/>
      <c r="S612" s="92"/>
      <c r="T612" s="92"/>
      <c r="U612" s="92"/>
      <c r="V612" s="92"/>
      <c r="W612" s="92"/>
      <c r="X612" s="92"/>
      <c r="Y612" s="92"/>
      <c r="Z612" s="101"/>
      <c r="AA612" s="95"/>
      <c r="AB612" s="93"/>
      <c r="AC612" s="93"/>
      <c r="AD612" s="94"/>
      <c r="AE612" s="95"/>
      <c r="AF612" s="92"/>
    </row>
    <row r="613" spans="2:32" x14ac:dyDescent="0.3">
      <c r="B613" s="36"/>
      <c r="C613" s="36"/>
      <c r="E613" s="33"/>
      <c r="F613" s="33"/>
      <c r="G613" s="33"/>
      <c r="H613" s="33"/>
      <c r="I613" s="33"/>
      <c r="J613" s="36"/>
      <c r="K613" s="37"/>
      <c r="L613" s="375"/>
      <c r="M613" s="362"/>
      <c r="N613" s="36"/>
      <c r="O613" s="36"/>
      <c r="P613" s="50"/>
      <c r="Q613" s="36"/>
      <c r="R613" s="36"/>
      <c r="S613" s="36"/>
      <c r="T613" s="36"/>
      <c r="U613" s="36"/>
      <c r="V613" s="36"/>
      <c r="W613" s="36"/>
      <c r="X613" s="36"/>
      <c r="Y613" s="36"/>
      <c r="Z613" s="37"/>
      <c r="AA613" s="52"/>
      <c r="AB613" s="50"/>
      <c r="AC613" s="50"/>
      <c r="AD613" s="51"/>
      <c r="AE613" s="52"/>
      <c r="AF613" s="36"/>
    </row>
    <row r="614" spans="2:32" ht="28.5" x14ac:dyDescent="0.3">
      <c r="B614" s="36"/>
      <c r="C614" s="36"/>
      <c r="E614" s="33">
        <v>1</v>
      </c>
      <c r="F614" s="70" t="s">
        <v>131</v>
      </c>
      <c r="G614" s="70" t="s">
        <v>131</v>
      </c>
      <c r="H614" s="33">
        <v>18</v>
      </c>
      <c r="I614" s="34">
        <v>7</v>
      </c>
      <c r="J614" s="36" t="s">
        <v>191</v>
      </c>
      <c r="K614" s="374" t="s">
        <v>290</v>
      </c>
      <c r="L614" s="375" t="s">
        <v>291</v>
      </c>
      <c r="M614" s="375" t="s">
        <v>292</v>
      </c>
      <c r="N614" s="36" t="s">
        <v>301</v>
      </c>
      <c r="O614" s="36" t="s">
        <v>301</v>
      </c>
      <c r="P614" s="50">
        <v>171885000</v>
      </c>
      <c r="Q614" s="36" t="s">
        <v>301</v>
      </c>
      <c r="R614" s="431">
        <f>P614+(P614*10%)</f>
        <v>189073500</v>
      </c>
      <c r="S614" s="36" t="s">
        <v>301</v>
      </c>
      <c r="T614" s="431">
        <f>R614+(R614*10%)</f>
        <v>207980850</v>
      </c>
      <c r="U614" s="36" t="s">
        <v>301</v>
      </c>
      <c r="V614" s="431">
        <f>T614+(T614*10%)</f>
        <v>228778935</v>
      </c>
      <c r="W614" s="36" t="s">
        <v>301</v>
      </c>
      <c r="X614" s="431">
        <f>V614+(V614*10%)</f>
        <v>251656828.5</v>
      </c>
      <c r="Y614" s="36" t="s">
        <v>301</v>
      </c>
      <c r="Z614" s="431">
        <f>X614+V614+T614+R614+P614</f>
        <v>1049375113.5</v>
      </c>
      <c r="AA614" s="52" t="s">
        <v>66</v>
      </c>
      <c r="AB614" s="50">
        <f>181125*1</f>
        <v>181125</v>
      </c>
      <c r="AC614" s="50">
        <f>AB614</f>
        <v>181125</v>
      </c>
      <c r="AD614" s="51" t="s">
        <v>84</v>
      </c>
      <c r="AE614" s="52" t="s">
        <v>81</v>
      </c>
      <c r="AF614" s="36" t="s">
        <v>66</v>
      </c>
    </row>
    <row r="615" spans="2:32" ht="28.5" x14ac:dyDescent="0.3">
      <c r="B615" s="36"/>
      <c r="C615" s="36"/>
      <c r="E615" s="33"/>
      <c r="F615" s="33"/>
      <c r="G615" s="33"/>
      <c r="H615" s="33"/>
      <c r="I615" s="33"/>
      <c r="J615" s="36"/>
      <c r="K615" s="374" t="s">
        <v>293</v>
      </c>
      <c r="L615" s="375" t="s">
        <v>291</v>
      </c>
      <c r="M615" s="362" t="s">
        <v>1309</v>
      </c>
      <c r="N615" s="36" t="s">
        <v>1159</v>
      </c>
      <c r="O615" s="36" t="s">
        <v>1159</v>
      </c>
      <c r="P615" s="50"/>
      <c r="Q615" s="36" t="s">
        <v>1159</v>
      </c>
      <c r="R615" s="36"/>
      <c r="S615" s="36" t="s">
        <v>1159</v>
      </c>
      <c r="T615" s="36"/>
      <c r="U615" s="36" t="s">
        <v>1159</v>
      </c>
      <c r="V615" s="36"/>
      <c r="W615" s="36" t="s">
        <v>1159</v>
      </c>
      <c r="X615" s="36"/>
      <c r="Y615" s="36" t="s">
        <v>1159</v>
      </c>
      <c r="Z615" s="37"/>
      <c r="AA615" s="52"/>
      <c r="AB615" s="50"/>
      <c r="AC615" s="50"/>
      <c r="AD615" s="51"/>
      <c r="AE615" s="52"/>
      <c r="AF615" s="36"/>
    </row>
    <row r="616" spans="2:32" ht="28.5" x14ac:dyDescent="0.3">
      <c r="B616" s="36"/>
      <c r="C616" s="36"/>
      <c r="E616" s="33"/>
      <c r="F616" s="33"/>
      <c r="G616" s="33"/>
      <c r="H616" s="33"/>
      <c r="I616" s="33"/>
      <c r="J616" s="36"/>
      <c r="K616" s="374" t="s">
        <v>294</v>
      </c>
      <c r="L616" s="375" t="s">
        <v>291</v>
      </c>
      <c r="M616" s="362" t="s">
        <v>1483</v>
      </c>
      <c r="N616" s="36"/>
      <c r="O616" s="36"/>
      <c r="P616" s="50"/>
      <c r="Q616" s="36"/>
      <c r="R616" s="36"/>
      <c r="S616" s="36"/>
      <c r="T616" s="36"/>
      <c r="U616" s="36"/>
      <c r="V616" s="36"/>
      <c r="W616" s="36"/>
      <c r="X616" s="36"/>
      <c r="Y616" s="36"/>
      <c r="Z616" s="37"/>
      <c r="AA616" s="52"/>
      <c r="AB616" s="50"/>
      <c r="AC616" s="50"/>
      <c r="AD616" s="51"/>
      <c r="AE616" s="52"/>
      <c r="AF616" s="36"/>
    </row>
    <row r="617" spans="2:32" x14ac:dyDescent="0.3">
      <c r="B617" s="36"/>
      <c r="C617" s="36"/>
      <c r="E617" s="33"/>
      <c r="F617" s="33"/>
      <c r="G617" s="33"/>
      <c r="H617" s="33"/>
      <c r="I617" s="33"/>
      <c r="J617" s="36"/>
      <c r="K617" s="374" t="s">
        <v>295</v>
      </c>
      <c r="L617" s="375" t="s">
        <v>291</v>
      </c>
      <c r="M617" s="415" t="s">
        <v>689</v>
      </c>
      <c r="N617" s="417"/>
      <c r="O617" s="417"/>
      <c r="P617" s="50"/>
      <c r="Q617" s="417"/>
      <c r="R617" s="36"/>
      <c r="S617" s="417"/>
      <c r="T617" s="36"/>
      <c r="U617" s="417"/>
      <c r="V617" s="36"/>
      <c r="W617" s="417"/>
      <c r="X617" s="36"/>
      <c r="Y617" s="417"/>
      <c r="Z617" s="37"/>
      <c r="AA617" s="52"/>
      <c r="AB617" s="50"/>
      <c r="AC617" s="50"/>
      <c r="AD617" s="51"/>
      <c r="AE617" s="52"/>
      <c r="AF617" s="36"/>
    </row>
    <row r="618" spans="2:32" x14ac:dyDescent="0.3">
      <c r="B618" s="92"/>
      <c r="C618" s="92"/>
      <c r="D618" s="445"/>
      <c r="E618" s="91"/>
      <c r="F618" s="91"/>
      <c r="G618" s="91"/>
      <c r="H618" s="91"/>
      <c r="I618" s="91"/>
      <c r="J618" s="92"/>
      <c r="K618" s="377" t="s">
        <v>297</v>
      </c>
      <c r="L618" s="378" t="s">
        <v>291</v>
      </c>
      <c r="M618" s="401" t="s">
        <v>501</v>
      </c>
      <c r="N618" s="403"/>
      <c r="O618" s="403"/>
      <c r="P618" s="93"/>
      <c r="Q618" s="403"/>
      <c r="R618" s="92"/>
      <c r="S618" s="403"/>
      <c r="T618" s="92"/>
      <c r="U618" s="403"/>
      <c r="V618" s="92"/>
      <c r="W618" s="403"/>
      <c r="X618" s="92"/>
      <c r="Y618" s="403"/>
      <c r="Z618" s="101"/>
      <c r="AA618" s="95"/>
      <c r="AB618" s="93"/>
      <c r="AC618" s="93"/>
      <c r="AD618" s="94"/>
      <c r="AE618" s="95"/>
      <c r="AF618" s="92"/>
    </row>
    <row r="619" spans="2:32" x14ac:dyDescent="0.3">
      <c r="B619" s="36"/>
      <c r="C619" s="36"/>
      <c r="E619" s="33"/>
      <c r="F619" s="33"/>
      <c r="G619" s="33"/>
      <c r="H619" s="33"/>
      <c r="I619" s="33"/>
      <c r="J619" s="36"/>
      <c r="K619" s="374"/>
      <c r="L619" s="375"/>
      <c r="M619" s="362"/>
      <c r="N619" s="36"/>
      <c r="O619" s="36"/>
      <c r="P619" s="50"/>
      <c r="Q619" s="36"/>
      <c r="R619" s="36"/>
      <c r="S619" s="36"/>
      <c r="T619" s="36"/>
      <c r="U619" s="36"/>
      <c r="V619" s="36"/>
      <c r="W619" s="36"/>
      <c r="X619" s="36"/>
      <c r="Y619" s="36"/>
      <c r="Z619" s="37"/>
      <c r="AA619" s="52"/>
      <c r="AB619" s="50"/>
      <c r="AC619" s="50"/>
      <c r="AD619" s="51"/>
      <c r="AE619" s="52"/>
      <c r="AF619" s="36"/>
    </row>
    <row r="620" spans="2:32" ht="28.5" x14ac:dyDescent="0.3">
      <c r="B620" s="36"/>
      <c r="C620" s="36"/>
      <c r="E620" s="33">
        <v>1</v>
      </c>
      <c r="F620" s="70" t="s">
        <v>131</v>
      </c>
      <c r="G620" s="70" t="s">
        <v>131</v>
      </c>
      <c r="H620" s="33">
        <v>18</v>
      </c>
      <c r="I620" s="34">
        <v>8</v>
      </c>
      <c r="J620" s="36" t="s">
        <v>192</v>
      </c>
      <c r="K620" s="374" t="s">
        <v>290</v>
      </c>
      <c r="L620" s="375" t="s">
        <v>291</v>
      </c>
      <c r="M620" s="375" t="s">
        <v>292</v>
      </c>
      <c r="N620" s="36" t="s">
        <v>301</v>
      </c>
      <c r="O620" s="36" t="s">
        <v>301</v>
      </c>
      <c r="P620" s="50">
        <v>39610000</v>
      </c>
      <c r="Q620" s="36" t="s">
        <v>301</v>
      </c>
      <c r="R620" s="431">
        <f>P620+(P620*10%)</f>
        <v>43571000</v>
      </c>
      <c r="S620" s="36" t="s">
        <v>301</v>
      </c>
      <c r="T620" s="431">
        <f>R620+(R620*10%)</f>
        <v>47928100</v>
      </c>
      <c r="U620" s="36" t="s">
        <v>301</v>
      </c>
      <c r="V620" s="431">
        <f>T620+(T620*10%)</f>
        <v>52720910</v>
      </c>
      <c r="W620" s="36" t="s">
        <v>301</v>
      </c>
      <c r="X620" s="431">
        <f>V620+(V620*10%)</f>
        <v>57993001</v>
      </c>
      <c r="Y620" s="36" t="s">
        <v>301</v>
      </c>
      <c r="Z620" s="431">
        <f>X620+V620+T620+R620+P620</f>
        <v>241823011</v>
      </c>
      <c r="AA620" s="52" t="s">
        <v>66</v>
      </c>
      <c r="AB620" s="50">
        <v>352740</v>
      </c>
      <c r="AC620" s="50">
        <f>AB620</f>
        <v>352740</v>
      </c>
      <c r="AD620" s="51" t="s">
        <v>84</v>
      </c>
      <c r="AE620" s="52" t="s">
        <v>81</v>
      </c>
      <c r="AF620" s="36" t="s">
        <v>75</v>
      </c>
    </row>
    <row r="621" spans="2:32" ht="71.25" x14ac:dyDescent="0.3">
      <c r="B621" s="36"/>
      <c r="C621" s="36"/>
      <c r="E621" s="33"/>
      <c r="F621" s="33"/>
      <c r="G621" s="33"/>
      <c r="H621" s="33"/>
      <c r="I621" s="33"/>
      <c r="J621" s="36"/>
      <c r="K621" s="374" t="s">
        <v>293</v>
      </c>
      <c r="L621" s="375" t="s">
        <v>291</v>
      </c>
      <c r="M621" s="362" t="s">
        <v>1310</v>
      </c>
      <c r="N621" s="36" t="s">
        <v>573</v>
      </c>
      <c r="O621" s="36" t="s">
        <v>573</v>
      </c>
      <c r="P621" s="50"/>
      <c r="Q621" s="36" t="s">
        <v>573</v>
      </c>
      <c r="R621" s="36"/>
      <c r="S621" s="36" t="s">
        <v>573</v>
      </c>
      <c r="T621" s="36"/>
      <c r="U621" s="36" t="s">
        <v>573</v>
      </c>
      <c r="V621" s="36"/>
      <c r="W621" s="36" t="s">
        <v>573</v>
      </c>
      <c r="X621" s="36"/>
      <c r="Y621" s="36" t="s">
        <v>573</v>
      </c>
      <c r="Z621" s="37"/>
      <c r="AA621" s="52"/>
      <c r="AB621" s="50"/>
      <c r="AC621" s="50"/>
      <c r="AD621" s="51"/>
      <c r="AE621" s="52"/>
      <c r="AF621" s="36"/>
    </row>
    <row r="622" spans="2:32" ht="28.5" x14ac:dyDescent="0.3">
      <c r="B622" s="36"/>
      <c r="C622" s="36"/>
      <c r="E622" s="33"/>
      <c r="F622" s="33"/>
      <c r="G622" s="33"/>
      <c r="H622" s="33"/>
      <c r="I622" s="33"/>
      <c r="J622" s="36"/>
      <c r="K622" s="374" t="s">
        <v>294</v>
      </c>
      <c r="L622" s="375" t="s">
        <v>291</v>
      </c>
      <c r="M622" s="362" t="s">
        <v>819</v>
      </c>
      <c r="N622" s="36" t="s">
        <v>432</v>
      </c>
      <c r="O622" s="36" t="s">
        <v>432</v>
      </c>
      <c r="P622" s="50"/>
      <c r="Q622" s="36" t="s">
        <v>432</v>
      </c>
      <c r="R622" s="36"/>
      <c r="S622" s="36" t="s">
        <v>432</v>
      </c>
      <c r="T622" s="36"/>
      <c r="U622" s="36" t="s">
        <v>432</v>
      </c>
      <c r="V622" s="36"/>
      <c r="W622" s="36" t="s">
        <v>432</v>
      </c>
      <c r="X622" s="36"/>
      <c r="Y622" s="36" t="s">
        <v>432</v>
      </c>
      <c r="Z622" s="37"/>
      <c r="AA622" s="52"/>
      <c r="AB622" s="50"/>
      <c r="AC622" s="50"/>
      <c r="AD622" s="51"/>
      <c r="AE622" s="52"/>
      <c r="AF622" s="36"/>
    </row>
    <row r="623" spans="2:32" x14ac:dyDescent="0.3">
      <c r="B623" s="36"/>
      <c r="C623" s="36"/>
      <c r="E623" s="33"/>
      <c r="F623" s="33"/>
      <c r="G623" s="33"/>
      <c r="H623" s="33"/>
      <c r="I623" s="33"/>
      <c r="J623" s="36"/>
      <c r="K623" s="374" t="s">
        <v>295</v>
      </c>
      <c r="L623" s="375" t="s">
        <v>291</v>
      </c>
      <c r="M623" s="415" t="s">
        <v>689</v>
      </c>
      <c r="N623" s="417"/>
      <c r="O623" s="417"/>
      <c r="P623" s="50"/>
      <c r="Q623" s="417"/>
      <c r="R623" s="36"/>
      <c r="S623" s="417"/>
      <c r="T623" s="36"/>
      <c r="U623" s="417"/>
      <c r="V623" s="36"/>
      <c r="W623" s="417"/>
      <c r="X623" s="36"/>
      <c r="Y623" s="417"/>
      <c r="Z623" s="37"/>
      <c r="AA623" s="52"/>
      <c r="AB623" s="50"/>
      <c r="AC623" s="50"/>
      <c r="AD623" s="51"/>
      <c r="AE623" s="52"/>
      <c r="AF623" s="36"/>
    </row>
    <row r="624" spans="2:32" x14ac:dyDescent="0.3">
      <c r="B624" s="92"/>
      <c r="C624" s="92"/>
      <c r="D624" s="445"/>
      <c r="E624" s="91"/>
      <c r="F624" s="91"/>
      <c r="G624" s="91"/>
      <c r="H624" s="91"/>
      <c r="I624" s="91"/>
      <c r="J624" s="92"/>
      <c r="K624" s="377" t="s">
        <v>297</v>
      </c>
      <c r="L624" s="378" t="s">
        <v>291</v>
      </c>
      <c r="M624" s="401" t="s">
        <v>501</v>
      </c>
      <c r="N624" s="403"/>
      <c r="O624" s="403"/>
      <c r="P624" s="93"/>
      <c r="Q624" s="403"/>
      <c r="R624" s="92"/>
      <c r="S624" s="403"/>
      <c r="T624" s="92"/>
      <c r="U624" s="403"/>
      <c r="V624" s="92"/>
      <c r="W624" s="403"/>
      <c r="X624" s="92"/>
      <c r="Y624" s="403"/>
      <c r="Z624" s="101"/>
      <c r="AA624" s="95"/>
      <c r="AB624" s="93"/>
      <c r="AC624" s="93"/>
      <c r="AD624" s="94"/>
      <c r="AE624" s="95"/>
      <c r="AF624" s="92"/>
    </row>
    <row r="625" spans="2:32" x14ac:dyDescent="0.3">
      <c r="B625" s="36"/>
      <c r="C625" s="36"/>
      <c r="E625" s="33"/>
      <c r="F625" s="33"/>
      <c r="G625" s="33"/>
      <c r="H625" s="33"/>
      <c r="I625" s="33"/>
      <c r="J625" s="36"/>
      <c r="K625" s="374"/>
      <c r="L625" s="375"/>
      <c r="M625" s="362"/>
      <c r="N625" s="36"/>
      <c r="O625" s="36"/>
      <c r="P625" s="50"/>
      <c r="Q625" s="36"/>
      <c r="R625" s="36"/>
      <c r="S625" s="36"/>
      <c r="T625" s="36"/>
      <c r="U625" s="36"/>
      <c r="V625" s="36"/>
      <c r="W625" s="36"/>
      <c r="X625" s="36"/>
      <c r="Y625" s="36"/>
      <c r="Z625" s="37"/>
      <c r="AA625" s="52"/>
      <c r="AB625" s="50"/>
      <c r="AC625" s="50"/>
      <c r="AD625" s="51"/>
      <c r="AE625" s="52"/>
      <c r="AF625" s="36"/>
    </row>
    <row r="626" spans="2:32" ht="28.5" x14ac:dyDescent="0.3">
      <c r="B626" s="36"/>
      <c r="C626" s="36"/>
      <c r="E626" s="33">
        <v>1</v>
      </c>
      <c r="F626" s="70" t="s">
        <v>131</v>
      </c>
      <c r="G626" s="70" t="s">
        <v>131</v>
      </c>
      <c r="H626" s="33">
        <v>18</v>
      </c>
      <c r="I626" s="34">
        <v>10</v>
      </c>
      <c r="J626" s="36" t="s">
        <v>193</v>
      </c>
      <c r="K626" s="374" t="s">
        <v>290</v>
      </c>
      <c r="L626" s="375" t="s">
        <v>291</v>
      </c>
      <c r="M626" s="375" t="s">
        <v>292</v>
      </c>
      <c r="N626" s="36" t="s">
        <v>301</v>
      </c>
      <c r="O626" s="36" t="s">
        <v>301</v>
      </c>
      <c r="P626" s="50">
        <v>1089120000</v>
      </c>
      <c r="Q626" s="36" t="s">
        <v>301</v>
      </c>
      <c r="R626" s="431">
        <f>P626+(P626*10%)</f>
        <v>1198032000</v>
      </c>
      <c r="S626" s="36" t="s">
        <v>301</v>
      </c>
      <c r="T626" s="431">
        <f>R626+(R626*10%)</f>
        <v>1317835200</v>
      </c>
      <c r="U626" s="36" t="s">
        <v>301</v>
      </c>
      <c r="V626" s="431">
        <f>T626+(T626*10%)</f>
        <v>1449618720</v>
      </c>
      <c r="W626" s="36" t="s">
        <v>301</v>
      </c>
      <c r="X626" s="431">
        <f>V626+(V626*10%)</f>
        <v>1594580592</v>
      </c>
      <c r="Y626" s="36" t="s">
        <v>301</v>
      </c>
      <c r="Z626" s="431">
        <f>X626+V626+T626+R626+P626</f>
        <v>6649186512</v>
      </c>
      <c r="AA626" s="52" t="s">
        <v>66</v>
      </c>
      <c r="AB626" s="50">
        <f>50000*1</f>
        <v>50000</v>
      </c>
      <c r="AC626" s="50">
        <f>AB626</f>
        <v>50000</v>
      </c>
      <c r="AD626" s="51" t="s">
        <v>66</v>
      </c>
      <c r="AE626" s="52" t="s">
        <v>81</v>
      </c>
      <c r="AF626" s="36" t="s">
        <v>75</v>
      </c>
    </row>
    <row r="627" spans="2:32" ht="28.5" x14ac:dyDescent="0.3">
      <c r="B627" s="36"/>
      <c r="C627" s="36"/>
      <c r="E627" s="33"/>
      <c r="F627" s="70"/>
      <c r="G627" s="70"/>
      <c r="H627" s="33"/>
      <c r="I627" s="70"/>
      <c r="J627" s="36"/>
      <c r="K627" s="374" t="s">
        <v>293</v>
      </c>
      <c r="L627" s="375" t="s">
        <v>291</v>
      </c>
      <c r="M627" s="362" t="s">
        <v>840</v>
      </c>
      <c r="N627" s="36" t="s">
        <v>1160</v>
      </c>
      <c r="O627" s="36" t="s">
        <v>1160</v>
      </c>
      <c r="P627" s="50"/>
      <c r="Q627" s="36" t="s">
        <v>1160</v>
      </c>
      <c r="R627" s="36"/>
      <c r="S627" s="36" t="s">
        <v>1160</v>
      </c>
      <c r="T627" s="36"/>
      <c r="U627" s="36" t="s">
        <v>1160</v>
      </c>
      <c r="V627" s="36"/>
      <c r="W627" s="36" t="s">
        <v>1160</v>
      </c>
      <c r="X627" s="36"/>
      <c r="Y627" s="36" t="s">
        <v>1160</v>
      </c>
      <c r="Z627" s="37"/>
      <c r="AA627" s="52" t="s">
        <v>66</v>
      </c>
      <c r="AB627" s="50"/>
      <c r="AC627" s="50"/>
      <c r="AD627" s="51"/>
      <c r="AE627" s="52"/>
      <c r="AF627" s="36" t="s">
        <v>148</v>
      </c>
    </row>
    <row r="628" spans="2:32" ht="28.5" x14ac:dyDescent="0.3">
      <c r="B628" s="36"/>
      <c r="C628" s="36"/>
      <c r="E628" s="33"/>
      <c r="F628" s="33"/>
      <c r="G628" s="33"/>
      <c r="H628" s="33"/>
      <c r="I628" s="33"/>
      <c r="J628" s="36"/>
      <c r="K628" s="37"/>
      <c r="L628" s="375" t="s">
        <v>291</v>
      </c>
      <c r="M628" s="362" t="s">
        <v>1311</v>
      </c>
      <c r="N628" s="36" t="s">
        <v>790</v>
      </c>
      <c r="O628" s="36" t="s">
        <v>790</v>
      </c>
      <c r="P628" s="50"/>
      <c r="Q628" s="36" t="s">
        <v>790</v>
      </c>
      <c r="R628" s="36"/>
      <c r="S628" s="36" t="s">
        <v>790</v>
      </c>
      <c r="T628" s="36"/>
      <c r="U628" s="36" t="s">
        <v>790</v>
      </c>
      <c r="V628" s="36"/>
      <c r="W628" s="36" t="s">
        <v>790</v>
      </c>
      <c r="X628" s="36"/>
      <c r="Y628" s="36" t="s">
        <v>790</v>
      </c>
      <c r="Z628" s="37"/>
      <c r="AA628" s="52"/>
      <c r="AB628" s="50">
        <f>15000*1</f>
        <v>15000</v>
      </c>
      <c r="AC628" s="50">
        <v>102850</v>
      </c>
      <c r="AD628" s="51" t="s">
        <v>84</v>
      </c>
      <c r="AE628" s="52" t="s">
        <v>81</v>
      </c>
      <c r="AF628" s="36"/>
    </row>
    <row r="629" spans="2:32" ht="28.5" x14ac:dyDescent="0.3">
      <c r="B629" s="36"/>
      <c r="C629" s="36"/>
      <c r="E629" s="33"/>
      <c r="F629" s="33"/>
      <c r="G629" s="33"/>
      <c r="H629" s="33"/>
      <c r="I629" s="33"/>
      <c r="J629" s="36"/>
      <c r="K629" s="374" t="s">
        <v>294</v>
      </c>
      <c r="L629" s="375" t="s">
        <v>291</v>
      </c>
      <c r="M629" s="362" t="s">
        <v>1484</v>
      </c>
      <c r="N629" s="41">
        <v>1</v>
      </c>
      <c r="O629" s="41">
        <v>1</v>
      </c>
      <c r="P629" s="50"/>
      <c r="Q629" s="41">
        <v>1</v>
      </c>
      <c r="R629" s="36"/>
      <c r="S629" s="41">
        <v>1</v>
      </c>
      <c r="T629" s="36"/>
      <c r="U629" s="41">
        <v>1</v>
      </c>
      <c r="V629" s="36"/>
      <c r="W629" s="41">
        <v>1</v>
      </c>
      <c r="X629" s="36"/>
      <c r="Y629" s="41">
        <v>1</v>
      </c>
      <c r="Z629" s="37"/>
      <c r="AA629" s="52"/>
      <c r="AB629" s="50"/>
      <c r="AC629" s="50"/>
      <c r="AD629" s="51"/>
      <c r="AE629" s="52"/>
      <c r="AF629" s="36"/>
    </row>
    <row r="630" spans="2:32" ht="28.5" x14ac:dyDescent="0.3">
      <c r="B630" s="36"/>
      <c r="C630" s="36"/>
      <c r="E630" s="33"/>
      <c r="F630" s="33"/>
      <c r="G630" s="33"/>
      <c r="H630" s="33"/>
      <c r="I630" s="33"/>
      <c r="J630" s="36"/>
      <c r="K630" s="374" t="s">
        <v>295</v>
      </c>
      <c r="L630" s="375" t="s">
        <v>291</v>
      </c>
      <c r="M630" s="460" t="s">
        <v>1485</v>
      </c>
      <c r="N630" s="36"/>
      <c r="O630" s="36"/>
      <c r="P630" s="50"/>
      <c r="Q630" s="36"/>
      <c r="R630" s="36"/>
      <c r="S630" s="36"/>
      <c r="T630" s="36"/>
      <c r="U630" s="36"/>
      <c r="V630" s="36"/>
      <c r="W630" s="36"/>
      <c r="X630" s="36"/>
      <c r="Y630" s="36"/>
      <c r="Z630" s="37"/>
      <c r="AA630" s="52"/>
      <c r="AB630" s="50"/>
      <c r="AC630" s="50"/>
      <c r="AD630" s="51"/>
      <c r="AE630" s="52"/>
      <c r="AF630" s="36"/>
    </row>
    <row r="631" spans="2:32" x14ac:dyDescent="0.3">
      <c r="B631" s="92"/>
      <c r="C631" s="92"/>
      <c r="D631" s="445"/>
      <c r="E631" s="91"/>
      <c r="F631" s="91"/>
      <c r="G631" s="91"/>
      <c r="H631" s="91"/>
      <c r="I631" s="91"/>
      <c r="J631" s="92"/>
      <c r="K631" s="377" t="s">
        <v>297</v>
      </c>
      <c r="L631" s="378" t="s">
        <v>291</v>
      </c>
      <c r="M631" s="385" t="s">
        <v>1474</v>
      </c>
      <c r="N631" s="92"/>
      <c r="O631" s="92"/>
      <c r="P631" s="93"/>
      <c r="Q631" s="92"/>
      <c r="R631" s="92"/>
      <c r="S631" s="92"/>
      <c r="T631" s="92"/>
      <c r="U631" s="92"/>
      <c r="V631" s="92"/>
      <c r="W631" s="92"/>
      <c r="X631" s="92"/>
      <c r="Y631" s="92"/>
      <c r="Z631" s="101"/>
      <c r="AA631" s="95"/>
      <c r="AB631" s="93"/>
      <c r="AC631" s="93"/>
      <c r="AD631" s="94"/>
      <c r="AE631" s="95"/>
      <c r="AF631" s="92"/>
    </row>
    <row r="632" spans="2:32" x14ac:dyDescent="0.3">
      <c r="B632" s="36"/>
      <c r="C632" s="36"/>
      <c r="E632" s="33"/>
      <c r="F632" s="33"/>
      <c r="G632" s="33"/>
      <c r="H632" s="33"/>
      <c r="I632" s="33"/>
      <c r="J632" s="36"/>
      <c r="K632" s="37"/>
      <c r="L632" s="375"/>
      <c r="M632" s="362"/>
      <c r="N632" s="36"/>
      <c r="O632" s="36"/>
      <c r="P632" s="50"/>
      <c r="Q632" s="36"/>
      <c r="R632" s="36"/>
      <c r="S632" s="36"/>
      <c r="T632" s="36"/>
      <c r="U632" s="36"/>
      <c r="V632" s="36"/>
      <c r="W632" s="36"/>
      <c r="X632" s="36"/>
      <c r="Y632" s="36"/>
      <c r="Z632" s="37"/>
      <c r="AA632" s="52"/>
      <c r="AB632" s="50"/>
      <c r="AC632" s="50"/>
      <c r="AD632" s="51"/>
      <c r="AE632" s="52"/>
      <c r="AF632" s="36"/>
    </row>
    <row r="633" spans="2:32" ht="28.5" x14ac:dyDescent="0.3">
      <c r="B633" s="36"/>
      <c r="C633" s="36"/>
      <c r="E633" s="33">
        <v>1</v>
      </c>
      <c r="F633" s="70" t="s">
        <v>131</v>
      </c>
      <c r="G633" s="70" t="s">
        <v>131</v>
      </c>
      <c r="H633" s="33">
        <v>18</v>
      </c>
      <c r="I633" s="70">
        <v>11</v>
      </c>
      <c r="J633" s="36" t="s">
        <v>194</v>
      </c>
      <c r="K633" s="374" t="s">
        <v>290</v>
      </c>
      <c r="L633" s="375" t="s">
        <v>291</v>
      </c>
      <c r="M633" s="375" t="s">
        <v>292</v>
      </c>
      <c r="N633" s="36" t="s">
        <v>301</v>
      </c>
      <c r="O633" s="36" t="s">
        <v>301</v>
      </c>
      <c r="P633" s="50">
        <v>754852000</v>
      </c>
      <c r="Q633" s="36" t="s">
        <v>301</v>
      </c>
      <c r="R633" s="431">
        <f>P633+(P633*10%)</f>
        <v>830337200</v>
      </c>
      <c r="S633" s="36" t="s">
        <v>301</v>
      </c>
      <c r="T633" s="431">
        <f>R633+(R633*10%)</f>
        <v>913370920</v>
      </c>
      <c r="U633" s="36" t="s">
        <v>301</v>
      </c>
      <c r="V633" s="431">
        <f>T633+(T633*10%)</f>
        <v>1004708012</v>
      </c>
      <c r="W633" s="36" t="s">
        <v>301</v>
      </c>
      <c r="X633" s="431">
        <f>V633+(V633*10%)</f>
        <v>1105178813.2</v>
      </c>
      <c r="Y633" s="36" t="s">
        <v>301</v>
      </c>
      <c r="Z633" s="431">
        <f>X633+V633+T633+R633+P633</f>
        <v>4608446945.1999998</v>
      </c>
      <c r="AA633" s="52" t="s">
        <v>66</v>
      </c>
      <c r="AB633" s="50"/>
      <c r="AC633" s="50"/>
      <c r="AD633" s="51"/>
      <c r="AE633" s="52"/>
      <c r="AF633" s="36" t="s">
        <v>195</v>
      </c>
    </row>
    <row r="634" spans="2:32" ht="28.5" x14ac:dyDescent="0.3">
      <c r="B634" s="36"/>
      <c r="C634" s="36"/>
      <c r="E634" s="33"/>
      <c r="F634" s="33"/>
      <c r="G634" s="33"/>
      <c r="H634" s="33"/>
      <c r="I634" s="33"/>
      <c r="J634" s="36"/>
      <c r="K634" s="374" t="s">
        <v>293</v>
      </c>
      <c r="L634" s="375" t="s">
        <v>291</v>
      </c>
      <c r="M634" s="362" t="s">
        <v>1312</v>
      </c>
      <c r="N634" s="27" t="s">
        <v>1161</v>
      </c>
      <c r="O634" s="27" t="s">
        <v>1161</v>
      </c>
      <c r="P634" s="79"/>
      <c r="Q634" s="27" t="s">
        <v>1161</v>
      </c>
      <c r="R634" s="36"/>
      <c r="S634" s="27" t="s">
        <v>1161</v>
      </c>
      <c r="T634" s="36"/>
      <c r="U634" s="27" t="s">
        <v>1161</v>
      </c>
      <c r="V634" s="36"/>
      <c r="W634" s="27" t="s">
        <v>1161</v>
      </c>
      <c r="X634" s="36"/>
      <c r="Y634" s="27" t="s">
        <v>1161</v>
      </c>
      <c r="Z634" s="37"/>
      <c r="AA634" s="52"/>
      <c r="AB634" s="50">
        <f>181125*1</f>
        <v>181125</v>
      </c>
      <c r="AC634" s="50">
        <f>AB634</f>
        <v>181125</v>
      </c>
      <c r="AD634" s="51" t="s">
        <v>66</v>
      </c>
      <c r="AE634" s="52" t="s">
        <v>81</v>
      </c>
      <c r="AF634" s="36"/>
    </row>
    <row r="635" spans="2:32" ht="28.5" x14ac:dyDescent="0.3">
      <c r="B635" s="36"/>
      <c r="C635" s="36"/>
      <c r="E635" s="33"/>
      <c r="F635" s="33"/>
      <c r="G635" s="33"/>
      <c r="H635" s="33"/>
      <c r="I635" s="33"/>
      <c r="J635" s="36"/>
      <c r="K635" s="37"/>
      <c r="L635" s="46"/>
      <c r="M635" s="362"/>
      <c r="N635" s="36" t="s">
        <v>1162</v>
      </c>
      <c r="O635" s="36" t="s">
        <v>1162</v>
      </c>
      <c r="P635" s="50"/>
      <c r="Q635" s="36" t="s">
        <v>1162</v>
      </c>
      <c r="R635" s="36"/>
      <c r="S635" s="36" t="s">
        <v>1162</v>
      </c>
      <c r="T635" s="36"/>
      <c r="U635" s="36" t="s">
        <v>1162</v>
      </c>
      <c r="V635" s="36"/>
      <c r="W635" s="36" t="s">
        <v>1162</v>
      </c>
      <c r="X635" s="36"/>
      <c r="Y635" s="36" t="s">
        <v>1162</v>
      </c>
      <c r="Z635" s="37"/>
      <c r="AA635" s="52" t="s">
        <v>84</v>
      </c>
      <c r="AB635" s="50">
        <v>77480</v>
      </c>
      <c r="AC635" s="50">
        <v>92976</v>
      </c>
      <c r="AD635" s="51" t="s">
        <v>66</v>
      </c>
      <c r="AE635" s="52" t="s">
        <v>81</v>
      </c>
      <c r="AF635" s="36"/>
    </row>
    <row r="636" spans="2:32" ht="28.5" x14ac:dyDescent="0.3">
      <c r="B636" s="36"/>
      <c r="C636" s="36"/>
      <c r="E636" s="33"/>
      <c r="F636" s="33"/>
      <c r="G636" s="33"/>
      <c r="H636" s="33"/>
      <c r="I636" s="33"/>
      <c r="J636" s="36"/>
      <c r="K636" s="37"/>
      <c r="L636" s="46"/>
      <c r="M636" s="362"/>
      <c r="N636" s="36" t="s">
        <v>1163</v>
      </c>
      <c r="O636" s="36" t="s">
        <v>1163</v>
      </c>
      <c r="P636" s="50"/>
      <c r="Q636" s="36" t="s">
        <v>1163</v>
      </c>
      <c r="R636" s="36"/>
      <c r="S636" s="36" t="s">
        <v>1163</v>
      </c>
      <c r="T636" s="36"/>
      <c r="U636" s="36" t="s">
        <v>1163</v>
      </c>
      <c r="V636" s="36"/>
      <c r="W636" s="36" t="s">
        <v>1163</v>
      </c>
      <c r="X636" s="36"/>
      <c r="Y636" s="36" t="s">
        <v>1163</v>
      </c>
      <c r="Z636" s="37"/>
      <c r="AA636" s="52"/>
      <c r="AB636" s="50"/>
      <c r="AC636" s="50"/>
      <c r="AD636" s="51"/>
      <c r="AE636" s="52"/>
      <c r="AF636" s="36"/>
    </row>
    <row r="637" spans="2:32" ht="57" x14ac:dyDescent="0.3">
      <c r="B637" s="36"/>
      <c r="C637" s="36"/>
      <c r="E637" s="33"/>
      <c r="F637" s="33"/>
      <c r="G637" s="33"/>
      <c r="H637" s="33"/>
      <c r="I637" s="33"/>
      <c r="J637" s="36"/>
      <c r="K637" s="37"/>
      <c r="L637" s="375" t="s">
        <v>291</v>
      </c>
      <c r="M637" s="362" t="s">
        <v>1313</v>
      </c>
      <c r="N637" s="36" t="s">
        <v>1164</v>
      </c>
      <c r="O637" s="36" t="s">
        <v>1164</v>
      </c>
      <c r="P637" s="50"/>
      <c r="Q637" s="36" t="s">
        <v>1164</v>
      </c>
      <c r="R637" s="36"/>
      <c r="S637" s="36" t="s">
        <v>1164</v>
      </c>
      <c r="T637" s="36"/>
      <c r="U637" s="36" t="s">
        <v>1164</v>
      </c>
      <c r="V637" s="36"/>
      <c r="W637" s="36" t="s">
        <v>1164</v>
      </c>
      <c r="X637" s="36"/>
      <c r="Y637" s="36" t="s">
        <v>1164</v>
      </c>
      <c r="Z637" s="37"/>
      <c r="AA637" s="52" t="s">
        <v>66</v>
      </c>
      <c r="AB637" s="50"/>
      <c r="AC637" s="50"/>
      <c r="AD637" s="51"/>
      <c r="AE637" s="52"/>
      <c r="AF637" s="36" t="s">
        <v>196</v>
      </c>
    </row>
    <row r="638" spans="2:32" ht="28.5" x14ac:dyDescent="0.3">
      <c r="B638" s="36"/>
      <c r="C638" s="36"/>
      <c r="E638" s="33"/>
      <c r="F638" s="33"/>
      <c r="G638" s="33"/>
      <c r="H638" s="33"/>
      <c r="I638" s="33"/>
      <c r="J638" s="36"/>
      <c r="K638" s="37"/>
      <c r="L638" s="375" t="s">
        <v>291</v>
      </c>
      <c r="M638" s="362" t="s">
        <v>1314</v>
      </c>
      <c r="N638" s="36" t="s">
        <v>1165</v>
      </c>
      <c r="O638" s="36" t="s">
        <v>1165</v>
      </c>
      <c r="P638" s="50"/>
      <c r="Q638" s="36" t="s">
        <v>1165</v>
      </c>
      <c r="R638" s="36"/>
      <c r="S638" s="36" t="s">
        <v>1165</v>
      </c>
      <c r="T638" s="36"/>
      <c r="U638" s="36" t="s">
        <v>1165</v>
      </c>
      <c r="V638" s="36"/>
      <c r="W638" s="36" t="s">
        <v>1165</v>
      </c>
      <c r="X638" s="36"/>
      <c r="Y638" s="36" t="s">
        <v>1165</v>
      </c>
      <c r="Z638" s="37"/>
      <c r="AA638" s="52" t="s">
        <v>84</v>
      </c>
      <c r="AB638" s="50">
        <v>10000</v>
      </c>
      <c r="AC638" s="50">
        <v>12000</v>
      </c>
      <c r="AD638" s="51" t="s">
        <v>66</v>
      </c>
      <c r="AE638" s="52" t="s">
        <v>81</v>
      </c>
      <c r="AF638" s="36"/>
    </row>
    <row r="639" spans="2:32" x14ac:dyDescent="0.3">
      <c r="B639" s="36"/>
      <c r="C639" s="36"/>
      <c r="E639" s="33"/>
      <c r="F639" s="33"/>
      <c r="G639" s="33"/>
      <c r="H639" s="33"/>
      <c r="I639" s="33"/>
      <c r="J639" s="36"/>
      <c r="K639" s="37"/>
      <c r="L639" s="375" t="s">
        <v>291</v>
      </c>
      <c r="M639" s="361" t="s">
        <v>1315</v>
      </c>
      <c r="N639" s="36" t="s">
        <v>1166</v>
      </c>
      <c r="O639" s="36" t="s">
        <v>1166</v>
      </c>
      <c r="P639" s="50"/>
      <c r="Q639" s="36" t="s">
        <v>1166</v>
      </c>
      <c r="R639" s="36"/>
      <c r="S639" s="36" t="s">
        <v>1166</v>
      </c>
      <c r="T639" s="36"/>
      <c r="U639" s="36" t="s">
        <v>1166</v>
      </c>
      <c r="V639" s="36"/>
      <c r="W639" s="36" t="s">
        <v>1166</v>
      </c>
      <c r="X639" s="36"/>
      <c r="Y639" s="36" t="s">
        <v>1166</v>
      </c>
      <c r="Z639" s="37"/>
      <c r="AA639" s="52" t="s">
        <v>84</v>
      </c>
      <c r="AB639" s="50"/>
      <c r="AC639" s="50"/>
      <c r="AD639" s="51"/>
      <c r="AE639" s="52"/>
      <c r="AF639" s="36"/>
    </row>
    <row r="640" spans="2:32" ht="28.5" x14ac:dyDescent="0.3">
      <c r="B640" s="36"/>
      <c r="C640" s="36"/>
      <c r="E640" s="33"/>
      <c r="F640" s="33"/>
      <c r="G640" s="33"/>
      <c r="H640" s="33"/>
      <c r="I640" s="33"/>
      <c r="J640" s="36"/>
      <c r="K640" s="37"/>
      <c r="L640" s="375" t="s">
        <v>291</v>
      </c>
      <c r="M640" s="361" t="s">
        <v>1316</v>
      </c>
      <c r="N640" s="36" t="s">
        <v>1167</v>
      </c>
      <c r="O640" s="36" t="s">
        <v>1167</v>
      </c>
      <c r="P640" s="86"/>
      <c r="Q640" s="36" t="s">
        <v>1167</v>
      </c>
      <c r="R640" s="36"/>
      <c r="S640" s="36" t="s">
        <v>1167</v>
      </c>
      <c r="T640" s="36"/>
      <c r="U640" s="36" t="s">
        <v>1167</v>
      </c>
      <c r="V640" s="36"/>
      <c r="W640" s="36" t="s">
        <v>1167</v>
      </c>
      <c r="X640" s="36"/>
      <c r="Y640" s="36" t="s">
        <v>1167</v>
      </c>
      <c r="Z640" s="37"/>
      <c r="AA640" s="52" t="s">
        <v>66</v>
      </c>
      <c r="AB640" s="50">
        <v>10000</v>
      </c>
      <c r="AC640" s="50">
        <v>12000</v>
      </c>
      <c r="AD640" s="51" t="s">
        <v>66</v>
      </c>
      <c r="AE640" s="52" t="s">
        <v>81</v>
      </c>
      <c r="AF640" s="36"/>
    </row>
    <row r="641" spans="2:32" ht="28.5" x14ac:dyDescent="0.3">
      <c r="B641" s="36"/>
      <c r="C641" s="36"/>
      <c r="E641" s="33"/>
      <c r="F641" s="33"/>
      <c r="G641" s="33"/>
      <c r="H641" s="33"/>
      <c r="I641" s="33"/>
      <c r="J641" s="36"/>
      <c r="K641" s="37"/>
      <c r="L641" s="375" t="s">
        <v>291</v>
      </c>
      <c r="M641" s="362" t="s">
        <v>1317</v>
      </c>
      <c r="N641" s="36" t="s">
        <v>1168</v>
      </c>
      <c r="O641" s="36" t="s">
        <v>1168</v>
      </c>
      <c r="P641" s="50"/>
      <c r="Q641" s="36" t="s">
        <v>1168</v>
      </c>
      <c r="R641" s="36"/>
      <c r="S641" s="36" t="s">
        <v>1168</v>
      </c>
      <c r="T641" s="36"/>
      <c r="U641" s="36" t="s">
        <v>1168</v>
      </c>
      <c r="V641" s="36"/>
      <c r="W641" s="36" t="s">
        <v>1168</v>
      </c>
      <c r="X641" s="36"/>
      <c r="Y641" s="36" t="s">
        <v>1168</v>
      </c>
      <c r="Z641" s="37"/>
      <c r="AA641" s="52"/>
      <c r="AB641" s="50"/>
      <c r="AC641" s="50"/>
      <c r="AD641" s="51"/>
      <c r="AE641" s="52"/>
      <c r="AF641" s="36"/>
    </row>
    <row r="642" spans="2:32" ht="28.5" x14ac:dyDescent="0.3">
      <c r="B642" s="36"/>
      <c r="C642" s="36"/>
      <c r="E642" s="33"/>
      <c r="F642" s="33"/>
      <c r="G642" s="33"/>
      <c r="H642" s="33"/>
      <c r="I642" s="33"/>
      <c r="J642" s="36"/>
      <c r="K642" s="374" t="s">
        <v>294</v>
      </c>
      <c r="L642" s="375" t="s">
        <v>291</v>
      </c>
      <c r="M642" s="362" t="s">
        <v>1486</v>
      </c>
      <c r="N642" s="372">
        <v>1</v>
      </c>
      <c r="O642" s="372">
        <v>1</v>
      </c>
      <c r="P642" s="50"/>
      <c r="Q642" s="372">
        <v>1</v>
      </c>
      <c r="R642" s="36"/>
      <c r="S642" s="372">
        <v>1</v>
      </c>
      <c r="T642" s="36"/>
      <c r="U642" s="372">
        <v>1</v>
      </c>
      <c r="V642" s="36"/>
      <c r="W642" s="372">
        <v>1</v>
      </c>
      <c r="X642" s="36"/>
      <c r="Y642" s="372">
        <v>1</v>
      </c>
      <c r="Z642" s="37"/>
      <c r="AA642" s="52"/>
      <c r="AB642" s="50"/>
      <c r="AC642" s="50"/>
      <c r="AD642" s="51"/>
      <c r="AE642" s="52"/>
      <c r="AF642" s="36"/>
    </row>
    <row r="643" spans="2:32" x14ac:dyDescent="0.3">
      <c r="B643" s="36"/>
      <c r="C643" s="36"/>
      <c r="E643" s="33"/>
      <c r="F643" s="33"/>
      <c r="G643" s="33"/>
      <c r="H643" s="33"/>
      <c r="I643" s="33"/>
      <c r="J643" s="36"/>
      <c r="K643" s="374" t="s">
        <v>295</v>
      </c>
      <c r="L643" s="375" t="s">
        <v>291</v>
      </c>
      <c r="M643" s="384" t="s">
        <v>1487</v>
      </c>
      <c r="N643" s="36"/>
      <c r="O643" s="36"/>
      <c r="P643" s="50"/>
      <c r="Q643" s="36"/>
      <c r="R643" s="36"/>
      <c r="S643" s="36"/>
      <c r="T643" s="36"/>
      <c r="U643" s="36"/>
      <c r="V643" s="36"/>
      <c r="W643" s="36"/>
      <c r="X643" s="36"/>
      <c r="Y643" s="36"/>
      <c r="Z643" s="37"/>
      <c r="AA643" s="52"/>
      <c r="AB643" s="50"/>
      <c r="AC643" s="50"/>
      <c r="AD643" s="51"/>
      <c r="AE643" s="52"/>
      <c r="AF643" s="36"/>
    </row>
    <row r="644" spans="2:32" x14ac:dyDescent="0.3">
      <c r="B644" s="92"/>
      <c r="C644" s="92"/>
      <c r="D644" s="445"/>
      <c r="E644" s="91"/>
      <c r="F644" s="91"/>
      <c r="G644" s="91"/>
      <c r="H644" s="91"/>
      <c r="I644" s="91"/>
      <c r="J644" s="92"/>
      <c r="K644" s="377" t="s">
        <v>297</v>
      </c>
      <c r="L644" s="378" t="s">
        <v>291</v>
      </c>
      <c r="M644" s="385" t="s">
        <v>1433</v>
      </c>
      <c r="N644" s="92"/>
      <c r="O644" s="92"/>
      <c r="P644" s="93"/>
      <c r="Q644" s="92"/>
      <c r="R644" s="92"/>
      <c r="S644" s="92"/>
      <c r="T644" s="92"/>
      <c r="U644" s="92"/>
      <c r="V644" s="92"/>
      <c r="W644" s="92"/>
      <c r="X644" s="92"/>
      <c r="Y644" s="92"/>
      <c r="Z644" s="101"/>
      <c r="AA644" s="95"/>
      <c r="AB644" s="93"/>
      <c r="AC644" s="93"/>
      <c r="AD644" s="94"/>
      <c r="AE644" s="95"/>
      <c r="AF644" s="92"/>
    </row>
    <row r="645" spans="2:32" x14ac:dyDescent="0.3">
      <c r="B645" s="36"/>
      <c r="C645" s="36"/>
      <c r="E645" s="33"/>
      <c r="F645" s="33"/>
      <c r="G645" s="33"/>
      <c r="H645" s="33"/>
      <c r="I645" s="33"/>
      <c r="J645" s="36"/>
      <c r="K645" s="37"/>
      <c r="L645" s="375"/>
      <c r="M645" s="362"/>
      <c r="N645" s="36"/>
      <c r="O645" s="36"/>
      <c r="P645" s="50"/>
      <c r="Q645" s="36"/>
      <c r="R645" s="36"/>
      <c r="S645" s="36"/>
      <c r="T645" s="36"/>
      <c r="U645" s="36"/>
      <c r="V645" s="36"/>
      <c r="W645" s="36"/>
      <c r="X645" s="36"/>
      <c r="Y645" s="36"/>
      <c r="Z645" s="37"/>
      <c r="AA645" s="52"/>
      <c r="AB645" s="50"/>
      <c r="AC645" s="50"/>
      <c r="AD645" s="51"/>
      <c r="AE645" s="52"/>
      <c r="AF645" s="36"/>
    </row>
    <row r="646" spans="2:32" ht="28.5" x14ac:dyDescent="0.3">
      <c r="B646" s="36"/>
      <c r="C646" s="36"/>
      <c r="E646" s="33">
        <v>1</v>
      </c>
      <c r="F646" s="70" t="s">
        <v>131</v>
      </c>
      <c r="G646" s="70" t="s">
        <v>131</v>
      </c>
      <c r="H646" s="33">
        <v>18</v>
      </c>
      <c r="I646" s="34">
        <v>12</v>
      </c>
      <c r="J646" s="36" t="s">
        <v>197</v>
      </c>
      <c r="K646" s="374" t="s">
        <v>290</v>
      </c>
      <c r="L646" s="375" t="s">
        <v>291</v>
      </c>
      <c r="M646" s="375" t="s">
        <v>292</v>
      </c>
      <c r="N646" s="36" t="s">
        <v>301</v>
      </c>
      <c r="O646" s="36" t="s">
        <v>301</v>
      </c>
      <c r="P646" s="50">
        <v>345827100</v>
      </c>
      <c r="Q646" s="36" t="s">
        <v>301</v>
      </c>
      <c r="R646" s="431">
        <f>P646+(P646*10%)</f>
        <v>380409810</v>
      </c>
      <c r="S646" s="36" t="s">
        <v>301</v>
      </c>
      <c r="T646" s="431">
        <f>R646+(R646*10%)</f>
        <v>418450791</v>
      </c>
      <c r="U646" s="36" t="s">
        <v>301</v>
      </c>
      <c r="V646" s="431">
        <f>T646+(T646*10%)</f>
        <v>460295870.10000002</v>
      </c>
      <c r="W646" s="36" t="s">
        <v>301</v>
      </c>
      <c r="X646" s="431">
        <f>V646+(V646*10%)</f>
        <v>506325457.11000001</v>
      </c>
      <c r="Y646" s="36" t="s">
        <v>301</v>
      </c>
      <c r="Z646" s="431">
        <f>X646+V646+T646+R646+P646</f>
        <v>2111309028.21</v>
      </c>
      <c r="AA646" s="52" t="s">
        <v>84</v>
      </c>
      <c r="AB646" s="50">
        <v>10000</v>
      </c>
      <c r="AC646" s="50">
        <v>12000</v>
      </c>
      <c r="AD646" s="51" t="s">
        <v>66</v>
      </c>
      <c r="AE646" s="52" t="s">
        <v>81</v>
      </c>
      <c r="AF646" s="36" t="s">
        <v>75</v>
      </c>
    </row>
    <row r="647" spans="2:32" ht="28.5" x14ac:dyDescent="0.3">
      <c r="B647" s="36"/>
      <c r="C647" s="36"/>
      <c r="E647" s="33"/>
      <c r="F647" s="33"/>
      <c r="G647" s="33"/>
      <c r="H647" s="33"/>
      <c r="I647" s="33"/>
      <c r="J647" s="36"/>
      <c r="K647" s="374" t="s">
        <v>293</v>
      </c>
      <c r="L647" s="375" t="s">
        <v>291</v>
      </c>
      <c r="M647" s="362" t="s">
        <v>1318</v>
      </c>
      <c r="N647" s="36" t="s">
        <v>1158</v>
      </c>
      <c r="O647" s="36" t="s">
        <v>1158</v>
      </c>
      <c r="P647" s="50"/>
      <c r="Q647" s="36" t="s">
        <v>1158</v>
      </c>
      <c r="R647" s="36"/>
      <c r="S647" s="36" t="s">
        <v>1158</v>
      </c>
      <c r="T647" s="36"/>
      <c r="U647" s="36" t="s">
        <v>1158</v>
      </c>
      <c r="V647" s="36"/>
      <c r="W647" s="36" t="s">
        <v>1158</v>
      </c>
      <c r="X647" s="36"/>
      <c r="Y647" s="36" t="s">
        <v>1158</v>
      </c>
      <c r="Z647" s="37"/>
      <c r="AA647" s="52"/>
      <c r="AB647" s="50"/>
      <c r="AC647" s="50"/>
      <c r="AD647" s="51"/>
      <c r="AE647" s="52"/>
      <c r="AF647" s="36"/>
    </row>
    <row r="648" spans="2:32" ht="28.5" x14ac:dyDescent="0.3">
      <c r="B648" s="36"/>
      <c r="C648" s="36"/>
      <c r="E648" s="33"/>
      <c r="F648" s="33"/>
      <c r="G648" s="33"/>
      <c r="H648" s="33"/>
      <c r="I648" s="33"/>
      <c r="J648" s="36"/>
      <c r="K648" s="37"/>
      <c r="L648" s="375" t="s">
        <v>291</v>
      </c>
      <c r="M648" s="362" t="s">
        <v>1319</v>
      </c>
      <c r="N648" s="36" t="s">
        <v>1169</v>
      </c>
      <c r="O648" s="36" t="s">
        <v>1169</v>
      </c>
      <c r="P648" s="50"/>
      <c r="Q648" s="36" t="s">
        <v>1169</v>
      </c>
      <c r="R648" s="36"/>
      <c r="S648" s="36" t="s">
        <v>1169</v>
      </c>
      <c r="T648" s="36"/>
      <c r="U648" s="36" t="s">
        <v>1169</v>
      </c>
      <c r="V648" s="36"/>
      <c r="W648" s="36" t="s">
        <v>1169</v>
      </c>
      <c r="X648" s="36"/>
      <c r="Y648" s="36" t="s">
        <v>1169</v>
      </c>
      <c r="Z648" s="37"/>
      <c r="AA648" s="52"/>
      <c r="AB648" s="50">
        <v>10000</v>
      </c>
      <c r="AC648" s="50">
        <v>11000</v>
      </c>
      <c r="AD648" s="51" t="s">
        <v>66</v>
      </c>
      <c r="AE648" s="52" t="s">
        <v>81</v>
      </c>
      <c r="AF648" s="36"/>
    </row>
    <row r="649" spans="2:32" ht="28.5" x14ac:dyDescent="0.3">
      <c r="B649" s="36"/>
      <c r="C649" s="36"/>
      <c r="E649" s="33"/>
      <c r="F649" s="33"/>
      <c r="G649" s="33"/>
      <c r="H649" s="33"/>
      <c r="I649" s="33"/>
      <c r="J649" s="36"/>
      <c r="K649" s="37"/>
      <c r="L649" s="375" t="s">
        <v>291</v>
      </c>
      <c r="M649" s="362" t="s">
        <v>1488</v>
      </c>
      <c r="N649" s="36" t="s">
        <v>1170</v>
      </c>
      <c r="O649" s="36" t="s">
        <v>1170</v>
      </c>
      <c r="P649" s="50"/>
      <c r="Q649" s="36" t="s">
        <v>1170</v>
      </c>
      <c r="R649" s="36"/>
      <c r="S649" s="36" t="s">
        <v>1170</v>
      </c>
      <c r="T649" s="36"/>
      <c r="U649" s="36" t="s">
        <v>1170</v>
      </c>
      <c r="V649" s="36"/>
      <c r="W649" s="36" t="s">
        <v>1170</v>
      </c>
      <c r="X649" s="36"/>
      <c r="Y649" s="36" t="s">
        <v>1170</v>
      </c>
      <c r="Z649" s="37"/>
      <c r="AA649" s="52"/>
      <c r="AB649" s="50"/>
      <c r="AC649" s="50"/>
      <c r="AD649" s="51"/>
      <c r="AE649" s="52"/>
      <c r="AF649" s="36"/>
    </row>
    <row r="650" spans="2:32" ht="28.5" x14ac:dyDescent="0.3">
      <c r="B650" s="36"/>
      <c r="C650" s="36"/>
      <c r="E650" s="33"/>
      <c r="F650" s="33"/>
      <c r="G650" s="33"/>
      <c r="H650" s="33"/>
      <c r="I650" s="33"/>
      <c r="J650" s="36"/>
      <c r="K650" s="374" t="s">
        <v>294</v>
      </c>
      <c r="L650" s="375" t="s">
        <v>291</v>
      </c>
      <c r="M650" s="362" t="s">
        <v>1477</v>
      </c>
      <c r="N650" s="41">
        <v>1</v>
      </c>
      <c r="O650" s="41">
        <v>1</v>
      </c>
      <c r="P650" s="50"/>
      <c r="Q650" s="41">
        <v>1</v>
      </c>
      <c r="R650" s="36"/>
      <c r="S650" s="41">
        <v>1</v>
      </c>
      <c r="T650" s="36"/>
      <c r="U650" s="41">
        <v>1</v>
      </c>
      <c r="V650" s="36"/>
      <c r="W650" s="41">
        <v>1</v>
      </c>
      <c r="X650" s="36"/>
      <c r="Y650" s="41">
        <v>1</v>
      </c>
      <c r="Z650" s="37"/>
      <c r="AA650" s="52"/>
      <c r="AB650" s="50"/>
      <c r="AC650" s="50"/>
      <c r="AD650" s="51"/>
      <c r="AE650" s="52"/>
      <c r="AF650" s="36"/>
    </row>
    <row r="651" spans="2:32" ht="28.5" x14ac:dyDescent="0.3">
      <c r="B651" s="36"/>
      <c r="C651" s="36"/>
      <c r="E651" s="33"/>
      <c r="F651" s="33"/>
      <c r="G651" s="33"/>
      <c r="H651" s="33"/>
      <c r="I651" s="33"/>
      <c r="J651" s="36"/>
      <c r="K651" s="374" t="s">
        <v>295</v>
      </c>
      <c r="L651" s="375" t="s">
        <v>291</v>
      </c>
      <c r="M651" s="362" t="s">
        <v>1489</v>
      </c>
      <c r="N651" s="36"/>
      <c r="O651" s="36"/>
      <c r="P651" s="50"/>
      <c r="Q651" s="36"/>
      <c r="R651" s="36"/>
      <c r="S651" s="36"/>
      <c r="T651" s="36"/>
      <c r="U651" s="36"/>
      <c r="V651" s="36"/>
      <c r="W651" s="36"/>
      <c r="X651" s="36"/>
      <c r="Y651" s="36"/>
      <c r="Z651" s="37"/>
      <c r="AA651" s="52"/>
      <c r="AB651" s="50"/>
      <c r="AC651" s="50"/>
      <c r="AD651" s="51"/>
      <c r="AE651" s="52"/>
      <c r="AF651" s="36"/>
    </row>
    <row r="652" spans="2:32" x14ac:dyDescent="0.3">
      <c r="B652" s="92"/>
      <c r="C652" s="92"/>
      <c r="D652" s="445"/>
      <c r="E652" s="91"/>
      <c r="F652" s="91"/>
      <c r="G652" s="91"/>
      <c r="H652" s="91"/>
      <c r="I652" s="91"/>
      <c r="J652" s="92"/>
      <c r="K652" s="377" t="s">
        <v>297</v>
      </c>
      <c r="L652" s="378" t="s">
        <v>291</v>
      </c>
      <c r="M652" s="385" t="s">
        <v>1433</v>
      </c>
      <c r="N652" s="92"/>
      <c r="O652" s="92"/>
      <c r="P652" s="93"/>
      <c r="Q652" s="92"/>
      <c r="R652" s="92"/>
      <c r="S652" s="92"/>
      <c r="T652" s="92"/>
      <c r="U652" s="92"/>
      <c r="V652" s="92"/>
      <c r="W652" s="92"/>
      <c r="X652" s="92"/>
      <c r="Y652" s="92"/>
      <c r="Z652" s="101"/>
      <c r="AA652" s="95"/>
      <c r="AB652" s="93"/>
      <c r="AC652" s="93"/>
      <c r="AD652" s="94"/>
      <c r="AE652" s="95"/>
      <c r="AF652" s="92"/>
    </row>
    <row r="653" spans="2:32" x14ac:dyDescent="0.3">
      <c r="B653" s="36"/>
      <c r="C653" s="36"/>
      <c r="E653" s="33"/>
      <c r="F653" s="33"/>
      <c r="G653" s="33"/>
      <c r="H653" s="33"/>
      <c r="I653" s="33"/>
      <c r="J653" s="36"/>
      <c r="K653" s="37"/>
      <c r="L653" s="375"/>
      <c r="M653" s="362"/>
      <c r="N653" s="36"/>
      <c r="O653" s="36"/>
      <c r="P653" s="50"/>
      <c r="Q653" s="36"/>
      <c r="R653" s="36"/>
      <c r="S653" s="36"/>
      <c r="T653" s="36"/>
      <c r="U653" s="36"/>
      <c r="V653" s="36"/>
      <c r="W653" s="36"/>
      <c r="X653" s="36"/>
      <c r="Y653" s="36"/>
      <c r="Z653" s="37"/>
      <c r="AA653" s="52"/>
      <c r="AB653" s="50"/>
      <c r="AC653" s="50"/>
      <c r="AD653" s="51"/>
      <c r="AE653" s="52"/>
      <c r="AF653" s="36"/>
    </row>
    <row r="654" spans="2:32" ht="42.75" x14ac:dyDescent="0.3">
      <c r="B654" s="36"/>
      <c r="C654" s="36"/>
      <c r="E654" s="33"/>
      <c r="F654" s="70" t="s">
        <v>131</v>
      </c>
      <c r="G654" s="70" t="s">
        <v>131</v>
      </c>
      <c r="H654" s="33">
        <v>18</v>
      </c>
      <c r="I654" s="70">
        <v>14</v>
      </c>
      <c r="J654" s="36" t="s">
        <v>198</v>
      </c>
      <c r="K654" s="374" t="s">
        <v>290</v>
      </c>
      <c r="L654" s="375" t="s">
        <v>291</v>
      </c>
      <c r="M654" s="375" t="s">
        <v>292</v>
      </c>
      <c r="N654" s="36" t="s">
        <v>301</v>
      </c>
      <c r="O654" s="36" t="s">
        <v>301</v>
      </c>
      <c r="P654" s="50">
        <v>34037500</v>
      </c>
      <c r="Q654" s="36" t="s">
        <v>301</v>
      </c>
      <c r="R654" s="431">
        <f>P654+(P654*10%)</f>
        <v>37441250</v>
      </c>
      <c r="S654" s="36" t="s">
        <v>301</v>
      </c>
      <c r="T654" s="431">
        <f>R654+(R654*10%)</f>
        <v>41185375</v>
      </c>
      <c r="U654" s="36" t="s">
        <v>301</v>
      </c>
      <c r="V654" s="431">
        <f>T654+(T654*10%)</f>
        <v>45303912.5</v>
      </c>
      <c r="W654" s="36" t="s">
        <v>301</v>
      </c>
      <c r="X654" s="431">
        <f>V654+(V654*10%)</f>
        <v>49834303.75</v>
      </c>
      <c r="Y654" s="36" t="s">
        <v>301</v>
      </c>
      <c r="Z654" s="431">
        <f>X654+V654+T654+R654+P654</f>
        <v>207802341.25</v>
      </c>
      <c r="AA654" s="52" t="s">
        <v>84</v>
      </c>
      <c r="AB654" s="50">
        <v>188678</v>
      </c>
      <c r="AC654" s="50">
        <v>690000</v>
      </c>
      <c r="AD654" s="51" t="s">
        <v>66</v>
      </c>
      <c r="AE654" s="52" t="s">
        <v>81</v>
      </c>
      <c r="AF654" s="36" t="s">
        <v>195</v>
      </c>
    </row>
    <row r="655" spans="2:32" ht="42.75" x14ac:dyDescent="0.3">
      <c r="B655" s="36"/>
      <c r="C655" s="36"/>
      <c r="E655" s="33"/>
      <c r="F655" s="33"/>
      <c r="G655" s="33"/>
      <c r="H655" s="33"/>
      <c r="I655" s="33"/>
      <c r="J655" s="36"/>
      <c r="K655" s="374" t="s">
        <v>293</v>
      </c>
      <c r="L655" s="375" t="s">
        <v>291</v>
      </c>
      <c r="M655" s="362" t="s">
        <v>1320</v>
      </c>
      <c r="N655" s="36" t="s">
        <v>1171</v>
      </c>
      <c r="O655" s="36" t="s">
        <v>1171</v>
      </c>
      <c r="P655" s="50"/>
      <c r="Q655" s="36" t="s">
        <v>1171</v>
      </c>
      <c r="R655" s="36"/>
      <c r="S655" s="36" t="s">
        <v>1171</v>
      </c>
      <c r="T655" s="36"/>
      <c r="U655" s="36" t="s">
        <v>1171</v>
      </c>
      <c r="V655" s="36"/>
      <c r="W655" s="36" t="s">
        <v>1171</v>
      </c>
      <c r="X655" s="36"/>
      <c r="Y655" s="36" t="s">
        <v>1171</v>
      </c>
      <c r="Z655" s="37"/>
      <c r="AA655" s="52"/>
      <c r="AB655" s="50"/>
      <c r="AC655" s="50"/>
      <c r="AD655" s="51"/>
      <c r="AE655" s="52"/>
      <c r="AF655" s="36"/>
    </row>
    <row r="656" spans="2:32" ht="28.5" x14ac:dyDescent="0.3">
      <c r="B656" s="36"/>
      <c r="C656" s="36"/>
      <c r="E656" s="33"/>
      <c r="F656" s="33"/>
      <c r="G656" s="33"/>
      <c r="H656" s="33"/>
      <c r="I656" s="33"/>
      <c r="J656" s="36"/>
      <c r="K656" s="374" t="s">
        <v>294</v>
      </c>
      <c r="L656" s="375" t="s">
        <v>291</v>
      </c>
      <c r="M656" s="362" t="s">
        <v>1490</v>
      </c>
      <c r="N656" s="41">
        <v>1</v>
      </c>
      <c r="O656" s="41">
        <v>1</v>
      </c>
      <c r="P656" s="50"/>
      <c r="Q656" s="41">
        <v>1</v>
      </c>
      <c r="R656" s="36"/>
      <c r="S656" s="41">
        <v>1</v>
      </c>
      <c r="T656" s="36"/>
      <c r="U656" s="41">
        <v>1</v>
      </c>
      <c r="V656" s="36"/>
      <c r="W656" s="41">
        <v>1</v>
      </c>
      <c r="X656" s="36"/>
      <c r="Y656" s="41">
        <v>1</v>
      </c>
      <c r="Z656" s="37"/>
      <c r="AA656" s="52"/>
      <c r="AB656" s="50"/>
      <c r="AC656" s="50"/>
      <c r="AD656" s="51"/>
      <c r="AE656" s="52"/>
      <c r="AF656" s="36"/>
    </row>
    <row r="657" spans="2:32" x14ac:dyDescent="0.3">
      <c r="B657" s="36"/>
      <c r="C657" s="36"/>
      <c r="E657" s="33"/>
      <c r="F657" s="33"/>
      <c r="G657" s="33"/>
      <c r="H657" s="33"/>
      <c r="I657" s="33"/>
      <c r="J657" s="36"/>
      <c r="K657" s="374" t="s">
        <v>295</v>
      </c>
      <c r="L657" s="375" t="s">
        <v>291</v>
      </c>
      <c r="M657" s="384" t="s">
        <v>1435</v>
      </c>
      <c r="N657" s="36"/>
      <c r="O657" s="36"/>
      <c r="P657" s="50"/>
      <c r="Q657" s="36"/>
      <c r="R657" s="36"/>
      <c r="S657" s="36"/>
      <c r="T657" s="36"/>
      <c r="U657" s="36"/>
      <c r="V657" s="36"/>
      <c r="W657" s="36"/>
      <c r="X657" s="36"/>
      <c r="Y657" s="36"/>
      <c r="Z657" s="37"/>
      <c r="AA657" s="52"/>
      <c r="AB657" s="50"/>
      <c r="AC657" s="50"/>
      <c r="AD657" s="51"/>
      <c r="AE657" s="52"/>
      <c r="AF657" s="36"/>
    </row>
    <row r="658" spans="2:32" x14ac:dyDescent="0.3">
      <c r="B658" s="92"/>
      <c r="C658" s="92"/>
      <c r="D658" s="445"/>
      <c r="E658" s="91"/>
      <c r="F658" s="91"/>
      <c r="G658" s="91"/>
      <c r="H658" s="91"/>
      <c r="I658" s="91"/>
      <c r="J658" s="92"/>
      <c r="K658" s="377" t="s">
        <v>297</v>
      </c>
      <c r="L658" s="378" t="s">
        <v>291</v>
      </c>
      <c r="M658" s="385" t="s">
        <v>1433</v>
      </c>
      <c r="N658" s="92"/>
      <c r="O658" s="92"/>
      <c r="P658" s="93"/>
      <c r="Q658" s="92"/>
      <c r="R658" s="92"/>
      <c r="S658" s="92"/>
      <c r="T658" s="92"/>
      <c r="U658" s="92"/>
      <c r="V658" s="92"/>
      <c r="W658" s="92"/>
      <c r="X658" s="92"/>
      <c r="Y658" s="92"/>
      <c r="Z658" s="101"/>
      <c r="AA658" s="95"/>
      <c r="AB658" s="93"/>
      <c r="AC658" s="93"/>
      <c r="AD658" s="94"/>
      <c r="AE658" s="95"/>
      <c r="AF658" s="92"/>
    </row>
    <row r="659" spans="2:32" x14ac:dyDescent="0.3">
      <c r="B659" s="36"/>
      <c r="C659" s="36"/>
      <c r="E659" s="33"/>
      <c r="F659" s="33"/>
      <c r="G659" s="33"/>
      <c r="H659" s="33"/>
      <c r="I659" s="33"/>
      <c r="J659" s="36"/>
      <c r="K659" s="374"/>
      <c r="L659" s="375"/>
      <c r="M659" s="362"/>
      <c r="N659" s="36"/>
      <c r="O659" s="36"/>
      <c r="P659" s="50"/>
      <c r="Q659" s="36"/>
      <c r="R659" s="36"/>
      <c r="S659" s="36"/>
      <c r="T659" s="36"/>
      <c r="U659" s="36"/>
      <c r="V659" s="36"/>
      <c r="W659" s="36"/>
      <c r="X659" s="36"/>
      <c r="Y659" s="36"/>
      <c r="Z659" s="37"/>
      <c r="AA659" s="52"/>
      <c r="AB659" s="50"/>
      <c r="AC659" s="50"/>
      <c r="AD659" s="51"/>
      <c r="AE659" s="52"/>
      <c r="AF659" s="36"/>
    </row>
    <row r="660" spans="2:32" ht="28.5" x14ac:dyDescent="0.3">
      <c r="B660" s="36"/>
      <c r="C660" s="36"/>
      <c r="E660" s="33">
        <v>1</v>
      </c>
      <c r="F660" s="70" t="s">
        <v>131</v>
      </c>
      <c r="G660" s="70" t="s">
        <v>131</v>
      </c>
      <c r="H660" s="33">
        <v>18</v>
      </c>
      <c r="I660" s="70">
        <v>16</v>
      </c>
      <c r="J660" s="36" t="s">
        <v>199</v>
      </c>
      <c r="K660" s="374" t="s">
        <v>290</v>
      </c>
      <c r="L660" s="375" t="s">
        <v>291</v>
      </c>
      <c r="M660" s="375" t="s">
        <v>292</v>
      </c>
      <c r="N660" s="36" t="s">
        <v>301</v>
      </c>
      <c r="O660" s="36" t="s">
        <v>301</v>
      </c>
      <c r="P660" s="50">
        <v>7295000</v>
      </c>
      <c r="Q660" s="36" t="s">
        <v>301</v>
      </c>
      <c r="R660" s="431">
        <f>P660+(P660*10%)</f>
        <v>8024500</v>
      </c>
      <c r="S660" s="36" t="s">
        <v>301</v>
      </c>
      <c r="T660" s="431">
        <f>R660+(R660*10%)</f>
        <v>8826950</v>
      </c>
      <c r="U660" s="36" t="s">
        <v>301</v>
      </c>
      <c r="V660" s="431">
        <f>T660+(T660*10%)</f>
        <v>9709645</v>
      </c>
      <c r="W660" s="36" t="s">
        <v>301</v>
      </c>
      <c r="X660" s="431">
        <f>V660+(V660*10%)</f>
        <v>10680609.5</v>
      </c>
      <c r="Y660" s="36" t="s">
        <v>301</v>
      </c>
      <c r="Z660" s="431">
        <f>X660+V660+T660+R660+P660</f>
        <v>44536704.5</v>
      </c>
      <c r="AA660" s="52" t="s">
        <v>66</v>
      </c>
      <c r="AB660" s="50">
        <v>50000</v>
      </c>
      <c r="AC660" s="50">
        <v>75000</v>
      </c>
      <c r="AD660" s="51" t="s">
        <v>66</v>
      </c>
      <c r="AE660" s="52" t="s">
        <v>81</v>
      </c>
      <c r="AF660" s="36" t="s">
        <v>75</v>
      </c>
    </row>
    <row r="661" spans="2:32" ht="71.25" x14ac:dyDescent="0.3">
      <c r="B661" s="36"/>
      <c r="C661" s="36"/>
      <c r="E661" s="33"/>
      <c r="F661" s="33"/>
      <c r="G661" s="33"/>
      <c r="H661" s="33"/>
      <c r="I661" s="33"/>
      <c r="J661" s="36"/>
      <c r="K661" s="374" t="s">
        <v>293</v>
      </c>
      <c r="L661" s="375" t="s">
        <v>291</v>
      </c>
      <c r="M661" s="362" t="s">
        <v>1321</v>
      </c>
      <c r="N661" s="36" t="s">
        <v>1172</v>
      </c>
      <c r="O661" s="36" t="s">
        <v>1172</v>
      </c>
      <c r="P661" s="50"/>
      <c r="Q661" s="36" t="s">
        <v>1172</v>
      </c>
      <c r="R661" s="36"/>
      <c r="S661" s="36" t="s">
        <v>1172</v>
      </c>
      <c r="T661" s="36"/>
      <c r="U661" s="36" t="s">
        <v>1172</v>
      </c>
      <c r="V661" s="36"/>
      <c r="W661" s="36" t="s">
        <v>1172</v>
      </c>
      <c r="X661" s="36"/>
      <c r="Y661" s="36" t="s">
        <v>1172</v>
      </c>
      <c r="Z661" s="37"/>
      <c r="AA661" s="52"/>
      <c r="AB661" s="50"/>
      <c r="AC661" s="50"/>
      <c r="AD661" s="51"/>
      <c r="AE661" s="52"/>
      <c r="AF661" s="36"/>
    </row>
    <row r="662" spans="2:32" ht="28.5" x14ac:dyDescent="0.3">
      <c r="B662" s="36"/>
      <c r="C662" s="36"/>
      <c r="E662" s="33"/>
      <c r="F662" s="33"/>
      <c r="G662" s="33"/>
      <c r="H662" s="33"/>
      <c r="I662" s="33"/>
      <c r="J662" s="36"/>
      <c r="K662" s="374" t="s">
        <v>294</v>
      </c>
      <c r="L662" s="375" t="s">
        <v>291</v>
      </c>
      <c r="M662" s="362" t="s">
        <v>1491</v>
      </c>
      <c r="N662" s="41">
        <v>1</v>
      </c>
      <c r="O662" s="41">
        <v>1</v>
      </c>
      <c r="P662" s="50"/>
      <c r="Q662" s="41">
        <v>1</v>
      </c>
      <c r="R662" s="36"/>
      <c r="S662" s="41">
        <v>1</v>
      </c>
      <c r="T662" s="36"/>
      <c r="U662" s="41">
        <v>1</v>
      </c>
      <c r="V662" s="36"/>
      <c r="W662" s="41">
        <v>1</v>
      </c>
      <c r="X662" s="36"/>
      <c r="Y662" s="41">
        <v>1</v>
      </c>
      <c r="Z662" s="37"/>
      <c r="AA662" s="52"/>
      <c r="AB662" s="50"/>
      <c r="AC662" s="50"/>
      <c r="AD662" s="51"/>
      <c r="AE662" s="52"/>
      <c r="AF662" s="36"/>
    </row>
    <row r="663" spans="2:32" x14ac:dyDescent="0.3">
      <c r="B663" s="36"/>
      <c r="C663" s="36"/>
      <c r="E663" s="33"/>
      <c r="F663" s="33"/>
      <c r="G663" s="33"/>
      <c r="H663" s="33"/>
      <c r="I663" s="33"/>
      <c r="J663" s="36"/>
      <c r="K663" s="374" t="s">
        <v>295</v>
      </c>
      <c r="L663" s="375" t="s">
        <v>291</v>
      </c>
      <c r="M663" s="384" t="s">
        <v>1459</v>
      </c>
      <c r="N663" s="36"/>
      <c r="O663" s="36"/>
      <c r="P663" s="50"/>
      <c r="Q663" s="36"/>
      <c r="R663" s="36"/>
      <c r="S663" s="36"/>
      <c r="T663" s="36"/>
      <c r="U663" s="36"/>
      <c r="V663" s="36"/>
      <c r="W663" s="36"/>
      <c r="X663" s="36"/>
      <c r="Y663" s="36"/>
      <c r="Z663" s="37"/>
      <c r="AA663" s="52"/>
      <c r="AB663" s="50"/>
      <c r="AC663" s="50"/>
      <c r="AD663" s="51"/>
      <c r="AE663" s="52"/>
      <c r="AF663" s="36"/>
    </row>
    <row r="664" spans="2:32" x14ac:dyDescent="0.3">
      <c r="B664" s="92"/>
      <c r="C664" s="92"/>
      <c r="D664" s="445"/>
      <c r="E664" s="91"/>
      <c r="F664" s="91"/>
      <c r="G664" s="91"/>
      <c r="H664" s="91"/>
      <c r="I664" s="91"/>
      <c r="J664" s="92"/>
      <c r="K664" s="377" t="s">
        <v>297</v>
      </c>
      <c r="L664" s="378" t="s">
        <v>291</v>
      </c>
      <c r="M664" s="385" t="s">
        <v>501</v>
      </c>
      <c r="N664" s="92"/>
      <c r="O664" s="92"/>
      <c r="P664" s="93"/>
      <c r="Q664" s="92"/>
      <c r="R664" s="92"/>
      <c r="S664" s="92"/>
      <c r="T664" s="92"/>
      <c r="U664" s="92"/>
      <c r="V664" s="92"/>
      <c r="W664" s="92"/>
      <c r="X664" s="92"/>
      <c r="Y664" s="92"/>
      <c r="Z664" s="101"/>
      <c r="AA664" s="95"/>
      <c r="AB664" s="93"/>
      <c r="AC664" s="93"/>
      <c r="AD664" s="94"/>
      <c r="AE664" s="95"/>
      <c r="AF664" s="92"/>
    </row>
    <row r="665" spans="2:32" x14ac:dyDescent="0.3">
      <c r="B665" s="36"/>
      <c r="C665" s="36"/>
      <c r="E665" s="33"/>
      <c r="F665" s="33"/>
      <c r="G665" s="33"/>
      <c r="H665" s="33"/>
      <c r="I665" s="33"/>
      <c r="J665" s="36"/>
      <c r="K665" s="374"/>
      <c r="L665" s="375"/>
      <c r="M665" s="362"/>
      <c r="N665" s="36"/>
      <c r="O665" s="36"/>
      <c r="P665" s="50"/>
      <c r="Q665" s="36"/>
      <c r="R665" s="36"/>
      <c r="S665" s="36"/>
      <c r="T665" s="36"/>
      <c r="U665" s="36"/>
      <c r="V665" s="36"/>
      <c r="W665" s="36"/>
      <c r="X665" s="36"/>
      <c r="Y665" s="36"/>
      <c r="Z665" s="37"/>
      <c r="AA665" s="52"/>
      <c r="AB665" s="50"/>
      <c r="AC665" s="50"/>
      <c r="AD665" s="51"/>
      <c r="AE665" s="52"/>
      <c r="AF665" s="36"/>
    </row>
    <row r="666" spans="2:32" ht="28.5" x14ac:dyDescent="0.3">
      <c r="B666" s="36"/>
      <c r="C666" s="36"/>
      <c r="E666" s="26"/>
      <c r="F666" s="26"/>
      <c r="G666" s="26"/>
      <c r="H666" s="26"/>
      <c r="I666" s="26"/>
      <c r="J666" s="27" t="s">
        <v>60</v>
      </c>
      <c r="K666" s="35"/>
      <c r="L666" s="39"/>
      <c r="M666" s="362"/>
      <c r="N666" s="36"/>
      <c r="O666" s="36"/>
      <c r="P666" s="82"/>
      <c r="Q666" s="36"/>
      <c r="R666" s="36"/>
      <c r="S666" s="36"/>
      <c r="T666" s="36"/>
      <c r="U666" s="36"/>
      <c r="V666" s="36"/>
      <c r="W666" s="36"/>
      <c r="X666" s="36"/>
      <c r="Y666" s="36"/>
      <c r="Z666" s="37"/>
      <c r="AA666" s="75"/>
      <c r="AB666" s="50">
        <f>5175*1</f>
        <v>5175</v>
      </c>
      <c r="AC666" s="50">
        <f>AB666</f>
        <v>5175</v>
      </c>
      <c r="AD666" s="51" t="s">
        <v>66</v>
      </c>
      <c r="AE666" s="52" t="s">
        <v>81</v>
      </c>
      <c r="AF666" s="27"/>
    </row>
    <row r="667" spans="2:32" s="87" customFormat="1" ht="27" x14ac:dyDescent="0.25">
      <c r="B667" s="504" t="s">
        <v>1560</v>
      </c>
      <c r="C667" s="504" t="s">
        <v>1562</v>
      </c>
      <c r="D667" s="434"/>
      <c r="E667" s="26">
        <v>1</v>
      </c>
      <c r="F667" s="69" t="s">
        <v>131</v>
      </c>
      <c r="G667" s="69" t="s">
        <v>131</v>
      </c>
      <c r="H667" s="26">
        <v>19</v>
      </c>
      <c r="I667" s="26"/>
      <c r="J667" s="27" t="s">
        <v>200</v>
      </c>
      <c r="K667" s="496" t="s">
        <v>1322</v>
      </c>
      <c r="L667" s="497"/>
      <c r="M667" s="498"/>
      <c r="N667" s="372">
        <v>1</v>
      </c>
      <c r="O667" s="372">
        <v>1</v>
      </c>
      <c r="P667" s="82">
        <f>SUM(P670:P691)</f>
        <v>275594600</v>
      </c>
      <c r="Q667" s="372">
        <v>1</v>
      </c>
      <c r="R667" s="82">
        <f>SUM(R670:R691)</f>
        <v>303154060</v>
      </c>
      <c r="S667" s="372">
        <v>1</v>
      </c>
      <c r="T667" s="82">
        <f>SUM(T670:T691)</f>
        <v>333469466</v>
      </c>
      <c r="U667" s="372">
        <v>1</v>
      </c>
      <c r="V667" s="82">
        <f>SUM(V670:V691)</f>
        <v>366816412.60000002</v>
      </c>
      <c r="W667" s="372">
        <v>1</v>
      </c>
      <c r="X667" s="82">
        <f>SUM(X670:X691)</f>
        <v>403498053.86000001</v>
      </c>
      <c r="Y667" s="372">
        <v>1</v>
      </c>
      <c r="Z667" s="430">
        <f>X667+V667+T667+R667+P667</f>
        <v>1682532592.46</v>
      </c>
      <c r="AA667" s="75"/>
      <c r="AB667" s="82"/>
      <c r="AC667" s="82"/>
      <c r="AD667" s="83"/>
      <c r="AE667" s="75"/>
      <c r="AF667" s="27" t="s">
        <v>75</v>
      </c>
    </row>
    <row r="668" spans="2:32" ht="28.5" x14ac:dyDescent="0.3">
      <c r="B668" s="504"/>
      <c r="C668" s="504"/>
      <c r="E668" s="33"/>
      <c r="F668" s="33"/>
      <c r="G668" s="33"/>
      <c r="H668" s="33"/>
      <c r="I668" s="33"/>
      <c r="J668" s="36"/>
      <c r="K668" s="37"/>
      <c r="L668" s="46"/>
      <c r="M668" s="362"/>
      <c r="N668" s="372"/>
      <c r="O668" s="372"/>
      <c r="P668" s="50"/>
      <c r="Q668" s="372"/>
      <c r="R668" s="36"/>
      <c r="S668" s="372"/>
      <c r="T668" s="36"/>
      <c r="U668" s="372"/>
      <c r="V668" s="36"/>
      <c r="W668" s="372"/>
      <c r="X668" s="36"/>
      <c r="Y668" s="372"/>
      <c r="Z668" s="37"/>
      <c r="AA668" s="52"/>
      <c r="AB668" s="50">
        <f>28715*1</f>
        <v>28715</v>
      </c>
      <c r="AC668" s="50">
        <f>AB668</f>
        <v>28715</v>
      </c>
      <c r="AD668" s="51" t="s">
        <v>84</v>
      </c>
      <c r="AE668" s="52" t="s">
        <v>81</v>
      </c>
      <c r="AF668" s="36"/>
    </row>
    <row r="669" spans="2:32" x14ac:dyDescent="0.3">
      <c r="B669" s="504"/>
      <c r="C669" s="504"/>
      <c r="E669" s="33"/>
      <c r="F669" s="33"/>
      <c r="G669" s="33"/>
      <c r="H669" s="33"/>
      <c r="I669" s="26"/>
      <c r="J669" s="27" t="s">
        <v>63</v>
      </c>
      <c r="K669" s="35"/>
      <c r="L669" s="39"/>
      <c r="M669" s="362"/>
      <c r="N669" s="36"/>
      <c r="O669" s="36"/>
      <c r="P669" s="82"/>
      <c r="Q669" s="36"/>
      <c r="R669" s="36"/>
      <c r="S669" s="36"/>
      <c r="T669" s="36"/>
      <c r="U669" s="36"/>
      <c r="V669" s="36"/>
      <c r="W669" s="36"/>
      <c r="X669" s="36"/>
      <c r="Y669" s="36"/>
      <c r="Z669" s="37"/>
      <c r="AA669" s="75"/>
      <c r="AB669" s="50"/>
      <c r="AC669" s="50"/>
      <c r="AD669" s="51"/>
      <c r="AE669" s="52"/>
      <c r="AF669" s="27"/>
    </row>
    <row r="670" spans="2:32" ht="28.5" x14ac:dyDescent="0.3">
      <c r="B670" s="504"/>
      <c r="C670" s="504"/>
      <c r="E670" s="33">
        <v>1</v>
      </c>
      <c r="F670" s="70" t="s">
        <v>131</v>
      </c>
      <c r="G670" s="70" t="s">
        <v>131</v>
      </c>
      <c r="H670" s="33">
        <v>19</v>
      </c>
      <c r="I670" s="34">
        <v>4</v>
      </c>
      <c r="J670" s="36" t="s">
        <v>201</v>
      </c>
      <c r="K670" s="374" t="s">
        <v>290</v>
      </c>
      <c r="L670" s="375" t="s">
        <v>291</v>
      </c>
      <c r="M670" s="375" t="s">
        <v>292</v>
      </c>
      <c r="N670" s="36" t="s">
        <v>301</v>
      </c>
      <c r="O670" s="36" t="s">
        <v>301</v>
      </c>
      <c r="P670" s="84">
        <v>164062000</v>
      </c>
      <c r="Q670" s="36" t="s">
        <v>301</v>
      </c>
      <c r="R670" s="431">
        <f>P670+(P670*10%)</f>
        <v>180468200</v>
      </c>
      <c r="S670" s="36" t="s">
        <v>301</v>
      </c>
      <c r="T670" s="431">
        <f>R670+(R670*10%)</f>
        <v>198515020</v>
      </c>
      <c r="U670" s="36" t="s">
        <v>301</v>
      </c>
      <c r="V670" s="431">
        <f>T670+(T670*10%)</f>
        <v>218366522</v>
      </c>
      <c r="W670" s="36" t="s">
        <v>301</v>
      </c>
      <c r="X670" s="431">
        <f>V670+(V670*10%)</f>
        <v>240203174.19999999</v>
      </c>
      <c r="Y670" s="36" t="s">
        <v>301</v>
      </c>
      <c r="Z670" s="431">
        <f>X670+V670+T670+R670+P670</f>
        <v>1001614916.2</v>
      </c>
      <c r="AA670" s="52" t="s">
        <v>66</v>
      </c>
      <c r="AB670" s="50">
        <v>69588</v>
      </c>
      <c r="AC670" s="50">
        <v>842008.2</v>
      </c>
      <c r="AD670" s="51" t="s">
        <v>66</v>
      </c>
      <c r="AE670" s="52" t="s">
        <v>81</v>
      </c>
      <c r="AF670" s="36" t="s">
        <v>156</v>
      </c>
    </row>
    <row r="671" spans="2:32" ht="42.75" x14ac:dyDescent="0.3">
      <c r="B671" s="504"/>
      <c r="C671" s="504"/>
      <c r="E671" s="33"/>
      <c r="F671" s="33"/>
      <c r="G671" s="33"/>
      <c r="H671" s="33"/>
      <c r="I671" s="33"/>
      <c r="J671" s="36"/>
      <c r="K671" s="374" t="s">
        <v>293</v>
      </c>
      <c r="L671" s="375" t="s">
        <v>291</v>
      </c>
      <c r="M671" s="362" t="s">
        <v>1323</v>
      </c>
      <c r="N671" s="36" t="s">
        <v>664</v>
      </c>
      <c r="O671" s="36" t="s">
        <v>664</v>
      </c>
      <c r="P671" s="50"/>
      <c r="Q671" s="36" t="s">
        <v>664</v>
      </c>
      <c r="R671" s="36"/>
      <c r="S671" s="36" t="s">
        <v>664</v>
      </c>
      <c r="T671" s="36"/>
      <c r="U671" s="36" t="s">
        <v>664</v>
      </c>
      <c r="V671" s="36"/>
      <c r="W671" s="36" t="s">
        <v>664</v>
      </c>
      <c r="X671" s="36"/>
      <c r="Y671" s="36" t="s">
        <v>664</v>
      </c>
      <c r="Z671" s="37"/>
      <c r="AA671" s="52"/>
      <c r="AB671" s="50">
        <v>58000</v>
      </c>
      <c r="AC671" s="50">
        <f>AB671</f>
        <v>58000</v>
      </c>
      <c r="AD671" s="51" t="s">
        <v>66</v>
      </c>
      <c r="AE671" s="52" t="s">
        <v>67</v>
      </c>
      <c r="AF671" s="36"/>
    </row>
    <row r="672" spans="2:32" ht="28.5" x14ac:dyDescent="0.3">
      <c r="B672" s="504"/>
      <c r="C672" s="36"/>
      <c r="E672" s="33"/>
      <c r="F672" s="33"/>
      <c r="G672" s="33"/>
      <c r="H672" s="33"/>
      <c r="I672" s="33"/>
      <c r="J672" s="36"/>
      <c r="K672" s="37"/>
      <c r="L672" s="375" t="s">
        <v>291</v>
      </c>
      <c r="M672" s="362" t="s">
        <v>1324</v>
      </c>
      <c r="N672" s="36" t="s">
        <v>666</v>
      </c>
      <c r="O672" s="36" t="s">
        <v>666</v>
      </c>
      <c r="P672" s="50"/>
      <c r="Q672" s="36" t="s">
        <v>666</v>
      </c>
      <c r="R672" s="36"/>
      <c r="S672" s="36" t="s">
        <v>666</v>
      </c>
      <c r="T672" s="36"/>
      <c r="U672" s="36" t="s">
        <v>666</v>
      </c>
      <c r="V672" s="36"/>
      <c r="W672" s="36" t="s">
        <v>666</v>
      </c>
      <c r="X672" s="36"/>
      <c r="Y672" s="36" t="s">
        <v>666</v>
      </c>
      <c r="Z672" s="37"/>
      <c r="AA672" s="52"/>
      <c r="AB672" s="50">
        <v>50000</v>
      </c>
      <c r="AC672" s="50">
        <v>700000</v>
      </c>
      <c r="AD672" s="51" t="s">
        <v>66</v>
      </c>
      <c r="AE672" s="52" t="s">
        <v>67</v>
      </c>
      <c r="AF672" s="36"/>
    </row>
    <row r="673" spans="2:32" ht="28.5" x14ac:dyDescent="0.3">
      <c r="B673" s="504"/>
      <c r="C673" s="36"/>
      <c r="E673" s="33"/>
      <c r="F673" s="33"/>
      <c r="G673" s="33"/>
      <c r="H673" s="33"/>
      <c r="I673" s="33"/>
      <c r="J673" s="36"/>
      <c r="K673" s="37"/>
      <c r="L673" s="375" t="s">
        <v>291</v>
      </c>
      <c r="M673" s="362" t="s">
        <v>1325</v>
      </c>
      <c r="N673" s="36" t="s">
        <v>668</v>
      </c>
      <c r="O673" s="36" t="s">
        <v>668</v>
      </c>
      <c r="P673" s="50"/>
      <c r="Q673" s="36" t="s">
        <v>668</v>
      </c>
      <c r="R673" s="36"/>
      <c r="S673" s="36" t="s">
        <v>668</v>
      </c>
      <c r="T673" s="36"/>
      <c r="U673" s="36" t="s">
        <v>668</v>
      </c>
      <c r="V673" s="36"/>
      <c r="W673" s="36" t="s">
        <v>668</v>
      </c>
      <c r="X673" s="36"/>
      <c r="Y673" s="36" t="s">
        <v>668</v>
      </c>
      <c r="Z673" s="37"/>
      <c r="AA673" s="52"/>
      <c r="AB673" s="50">
        <v>270000</v>
      </c>
      <c r="AC673" s="50">
        <f>AB673</f>
        <v>270000</v>
      </c>
      <c r="AD673" s="51" t="s">
        <v>66</v>
      </c>
      <c r="AE673" s="52" t="s">
        <v>67</v>
      </c>
      <c r="AF673" s="36"/>
    </row>
    <row r="674" spans="2:32" ht="28.5" x14ac:dyDescent="0.3">
      <c r="B674" s="504"/>
      <c r="C674" s="36"/>
      <c r="E674" s="33"/>
      <c r="F674" s="33"/>
      <c r="G674" s="33"/>
      <c r="H674" s="33"/>
      <c r="I674" s="33"/>
      <c r="J674" s="36"/>
      <c r="K674" s="37"/>
      <c r="L674" s="375" t="s">
        <v>291</v>
      </c>
      <c r="M674" s="362" t="s">
        <v>1326</v>
      </c>
      <c r="N674" s="36" t="s">
        <v>670</v>
      </c>
      <c r="O674" s="36" t="s">
        <v>670</v>
      </c>
      <c r="P674" s="50"/>
      <c r="Q674" s="36" t="s">
        <v>670</v>
      </c>
      <c r="R674" s="36"/>
      <c r="S674" s="36" t="s">
        <v>670</v>
      </c>
      <c r="T674" s="36"/>
      <c r="U674" s="36" t="s">
        <v>670</v>
      </c>
      <c r="V674" s="36"/>
      <c r="W674" s="36" t="s">
        <v>670</v>
      </c>
      <c r="X674" s="36"/>
      <c r="Y674" s="36" t="s">
        <v>670</v>
      </c>
      <c r="Z674" s="37"/>
      <c r="AA674" s="52"/>
      <c r="AB674" s="50"/>
      <c r="AC674" s="50"/>
      <c r="AD674" s="51"/>
      <c r="AE674" s="52"/>
      <c r="AF674" s="36"/>
    </row>
    <row r="675" spans="2:32" ht="28.5" x14ac:dyDescent="0.3">
      <c r="B675" s="36"/>
      <c r="C675" s="36"/>
      <c r="E675" s="33"/>
      <c r="F675" s="33"/>
      <c r="G675" s="33"/>
      <c r="H675" s="33"/>
      <c r="I675" s="33"/>
      <c r="J675" s="36"/>
      <c r="K675" s="374" t="s">
        <v>294</v>
      </c>
      <c r="L675" s="375" t="s">
        <v>291</v>
      </c>
      <c r="M675" s="362" t="s">
        <v>1492</v>
      </c>
      <c r="N675" s="41">
        <v>1</v>
      </c>
      <c r="O675" s="41">
        <v>1</v>
      </c>
      <c r="P675" s="50"/>
      <c r="Q675" s="41">
        <v>1</v>
      </c>
      <c r="R675" s="36"/>
      <c r="S675" s="41">
        <v>1</v>
      </c>
      <c r="T675" s="36"/>
      <c r="U675" s="41">
        <v>1</v>
      </c>
      <c r="V675" s="36"/>
      <c r="W675" s="41">
        <v>1</v>
      </c>
      <c r="X675" s="36"/>
      <c r="Y675" s="41">
        <v>1</v>
      </c>
      <c r="Z675" s="37"/>
      <c r="AA675" s="52"/>
      <c r="AB675" s="50"/>
      <c r="AC675" s="50"/>
      <c r="AD675" s="51"/>
      <c r="AE675" s="52"/>
      <c r="AF675" s="36"/>
    </row>
    <row r="676" spans="2:32" x14ac:dyDescent="0.3">
      <c r="B676" s="36"/>
      <c r="C676" s="36"/>
      <c r="E676" s="33"/>
      <c r="F676" s="33"/>
      <c r="G676" s="33"/>
      <c r="H676" s="33"/>
      <c r="I676" s="33"/>
      <c r="J676" s="36"/>
      <c r="K676" s="374" t="s">
        <v>295</v>
      </c>
      <c r="L676" s="375" t="s">
        <v>291</v>
      </c>
      <c r="M676" s="384" t="s">
        <v>1493</v>
      </c>
      <c r="N676" s="36"/>
      <c r="O676" s="36"/>
      <c r="P676" s="50"/>
      <c r="Q676" s="36"/>
      <c r="R676" s="36"/>
      <c r="S676" s="36"/>
      <c r="T676" s="36"/>
      <c r="U676" s="36"/>
      <c r="V676" s="36"/>
      <c r="W676" s="36"/>
      <c r="X676" s="36"/>
      <c r="Y676" s="36"/>
      <c r="Z676" s="37"/>
      <c r="AA676" s="52"/>
      <c r="AB676" s="50"/>
      <c r="AC676" s="50"/>
      <c r="AD676" s="51"/>
      <c r="AE676" s="52"/>
      <c r="AF676" s="36"/>
    </row>
    <row r="677" spans="2:32" x14ac:dyDescent="0.3">
      <c r="B677" s="92"/>
      <c r="C677" s="92"/>
      <c r="D677" s="445"/>
      <c r="E677" s="91"/>
      <c r="F677" s="91"/>
      <c r="G677" s="91"/>
      <c r="H677" s="91"/>
      <c r="I677" s="91"/>
      <c r="J677" s="92"/>
      <c r="K677" s="377" t="s">
        <v>297</v>
      </c>
      <c r="L677" s="378" t="s">
        <v>291</v>
      </c>
      <c r="M677" s="385" t="s">
        <v>1494</v>
      </c>
      <c r="N677" s="92"/>
      <c r="O677" s="92"/>
      <c r="P677" s="93"/>
      <c r="Q677" s="92"/>
      <c r="R677" s="92"/>
      <c r="S677" s="92"/>
      <c r="T677" s="92"/>
      <c r="U677" s="92"/>
      <c r="V677" s="92"/>
      <c r="W677" s="92"/>
      <c r="X677" s="92"/>
      <c r="Y677" s="92"/>
      <c r="Z677" s="101"/>
      <c r="AA677" s="95"/>
      <c r="AB677" s="93"/>
      <c r="AC677" s="93"/>
      <c r="AD677" s="94"/>
      <c r="AE677" s="95"/>
      <c r="AF677" s="92"/>
    </row>
    <row r="678" spans="2:32" ht="28.5" x14ac:dyDescent="0.3">
      <c r="B678" s="36"/>
      <c r="C678" s="36"/>
      <c r="E678" s="33"/>
      <c r="F678" s="33"/>
      <c r="G678" s="33"/>
      <c r="H678" s="33"/>
      <c r="I678" s="33"/>
      <c r="J678" s="36"/>
      <c r="K678" s="37"/>
      <c r="L678" s="46"/>
      <c r="M678" s="362"/>
      <c r="N678" s="36"/>
      <c r="O678" s="36"/>
      <c r="P678" s="50"/>
      <c r="Q678" s="36"/>
      <c r="R678" s="36"/>
      <c r="S678" s="36"/>
      <c r="T678" s="36"/>
      <c r="U678" s="36"/>
      <c r="V678" s="36"/>
      <c r="W678" s="36"/>
      <c r="X678" s="36"/>
      <c r="Y678" s="36"/>
      <c r="Z678" s="37"/>
      <c r="AA678" s="52"/>
      <c r="AB678" s="50">
        <v>94875</v>
      </c>
      <c r="AC678" s="50">
        <v>113850</v>
      </c>
      <c r="AD678" s="51" t="s">
        <v>66</v>
      </c>
      <c r="AE678" s="52" t="s">
        <v>81</v>
      </c>
      <c r="AF678" s="36"/>
    </row>
    <row r="679" spans="2:32" x14ac:dyDescent="0.3">
      <c r="B679" s="36"/>
      <c r="C679" s="36"/>
      <c r="E679" s="33">
        <v>1</v>
      </c>
      <c r="F679" s="70" t="s">
        <v>131</v>
      </c>
      <c r="G679" s="70" t="s">
        <v>131</v>
      </c>
      <c r="H679" s="33">
        <v>19</v>
      </c>
      <c r="I679" s="34">
        <v>7</v>
      </c>
      <c r="J679" s="36" t="s">
        <v>202</v>
      </c>
      <c r="K679" s="374" t="s">
        <v>290</v>
      </c>
      <c r="L679" s="375" t="s">
        <v>291</v>
      </c>
      <c r="M679" s="375" t="s">
        <v>292</v>
      </c>
      <c r="N679" s="36" t="s">
        <v>301</v>
      </c>
      <c r="O679" s="36" t="s">
        <v>301</v>
      </c>
      <c r="P679" s="50">
        <v>40180100</v>
      </c>
      <c r="Q679" s="36" t="s">
        <v>301</v>
      </c>
      <c r="R679" s="431">
        <f>P679+(P679*10%)</f>
        <v>44198110</v>
      </c>
      <c r="S679" s="36" t="s">
        <v>301</v>
      </c>
      <c r="T679" s="431">
        <f>R679+(R679*10%)</f>
        <v>48617921</v>
      </c>
      <c r="U679" s="36" t="s">
        <v>301</v>
      </c>
      <c r="V679" s="431">
        <f>T679+(T679*10%)</f>
        <v>53479713.100000001</v>
      </c>
      <c r="W679" s="36" t="s">
        <v>301</v>
      </c>
      <c r="X679" s="431">
        <f>V679+(V679*10%)</f>
        <v>58827684.410000004</v>
      </c>
      <c r="Y679" s="36" t="s">
        <v>301</v>
      </c>
      <c r="Z679" s="431">
        <f>X679+V679+T679+R679+P679</f>
        <v>245303528.50999999</v>
      </c>
      <c r="AA679" s="52" t="str">
        <f>AA670</f>
        <v>Dinas Dikpora</v>
      </c>
      <c r="AB679" s="50"/>
      <c r="AC679" s="50">
        <v>0</v>
      </c>
      <c r="AD679" s="51"/>
      <c r="AE679" s="52"/>
      <c r="AF679" s="36" t="s">
        <v>75</v>
      </c>
    </row>
    <row r="680" spans="2:32" ht="28.5" x14ac:dyDescent="0.3">
      <c r="B680" s="36"/>
      <c r="C680" s="36"/>
      <c r="E680" s="33"/>
      <c r="F680" s="33"/>
      <c r="G680" s="33"/>
      <c r="H680" s="33"/>
      <c r="I680" s="33"/>
      <c r="J680" s="36"/>
      <c r="K680" s="374" t="s">
        <v>293</v>
      </c>
      <c r="L680" s="375" t="s">
        <v>291</v>
      </c>
      <c r="M680" s="362" t="s">
        <v>1327</v>
      </c>
      <c r="N680" s="36" t="s">
        <v>360</v>
      </c>
      <c r="O680" s="36" t="s">
        <v>360</v>
      </c>
      <c r="P680" s="50"/>
      <c r="Q680" s="36" t="s">
        <v>360</v>
      </c>
      <c r="R680" s="36"/>
      <c r="S680" s="36" t="s">
        <v>360</v>
      </c>
      <c r="T680" s="36"/>
      <c r="U680" s="36" t="s">
        <v>360</v>
      </c>
      <c r="V680" s="36"/>
      <c r="W680" s="36" t="s">
        <v>360</v>
      </c>
      <c r="X680" s="36"/>
      <c r="Y680" s="36" t="s">
        <v>360</v>
      </c>
      <c r="Z680" s="37"/>
      <c r="AA680" s="52"/>
      <c r="AB680" s="50">
        <v>16000</v>
      </c>
      <c r="AC680" s="50">
        <v>17600</v>
      </c>
      <c r="AD680" s="51" t="s">
        <v>66</v>
      </c>
      <c r="AE680" s="52" t="s">
        <v>81</v>
      </c>
      <c r="AF680" s="36"/>
    </row>
    <row r="681" spans="2:32" ht="28.5" x14ac:dyDescent="0.3">
      <c r="B681" s="36"/>
      <c r="C681" s="36"/>
      <c r="E681" s="33"/>
      <c r="F681" s="33"/>
      <c r="G681" s="33"/>
      <c r="H681" s="33"/>
      <c r="I681" s="33"/>
      <c r="J681" s="36"/>
      <c r="K681" s="374" t="s">
        <v>294</v>
      </c>
      <c r="L681" s="375" t="s">
        <v>291</v>
      </c>
      <c r="M681" s="362" t="s">
        <v>1495</v>
      </c>
      <c r="N681" s="41">
        <v>1</v>
      </c>
      <c r="O681" s="41">
        <v>1</v>
      </c>
      <c r="P681" s="50"/>
      <c r="Q681" s="41">
        <v>1</v>
      </c>
      <c r="R681" s="36"/>
      <c r="S681" s="41">
        <v>1</v>
      </c>
      <c r="T681" s="36"/>
      <c r="U681" s="41">
        <v>1</v>
      </c>
      <c r="V681" s="36"/>
      <c r="W681" s="41">
        <v>1</v>
      </c>
      <c r="X681" s="36"/>
      <c r="Y681" s="41">
        <v>1</v>
      </c>
      <c r="Z681" s="37"/>
      <c r="AA681" s="52"/>
      <c r="AB681" s="50"/>
      <c r="AC681" s="50"/>
      <c r="AD681" s="51"/>
      <c r="AE681" s="52"/>
      <c r="AF681" s="36"/>
    </row>
    <row r="682" spans="2:32" x14ac:dyDescent="0.3">
      <c r="B682" s="36"/>
      <c r="C682" s="36"/>
      <c r="E682" s="33"/>
      <c r="F682" s="33"/>
      <c r="G682" s="33"/>
      <c r="H682" s="33"/>
      <c r="I682" s="33"/>
      <c r="J682" s="36"/>
      <c r="K682" s="374" t="s">
        <v>295</v>
      </c>
      <c r="L682" s="375" t="s">
        <v>291</v>
      </c>
      <c r="M682" s="362" t="s">
        <v>1496</v>
      </c>
      <c r="N682" s="36"/>
      <c r="O682" s="36"/>
      <c r="P682" s="50"/>
      <c r="Q682" s="36"/>
      <c r="R682" s="36"/>
      <c r="S682" s="36"/>
      <c r="T682" s="36"/>
      <c r="U682" s="36"/>
      <c r="V682" s="36"/>
      <c r="W682" s="36"/>
      <c r="X682" s="36"/>
      <c r="Y682" s="36"/>
      <c r="Z682" s="37"/>
      <c r="AA682" s="52"/>
      <c r="AB682" s="50"/>
      <c r="AC682" s="50"/>
      <c r="AD682" s="51"/>
      <c r="AE682" s="52"/>
      <c r="AF682" s="36"/>
    </row>
    <row r="683" spans="2:32" x14ac:dyDescent="0.3">
      <c r="B683" s="92"/>
      <c r="C683" s="92"/>
      <c r="D683" s="445"/>
      <c r="E683" s="91"/>
      <c r="F683" s="91"/>
      <c r="G683" s="91"/>
      <c r="H683" s="91"/>
      <c r="I683" s="91"/>
      <c r="J683" s="92"/>
      <c r="K683" s="377" t="s">
        <v>297</v>
      </c>
      <c r="L683" s="378" t="s">
        <v>291</v>
      </c>
      <c r="M683" s="386" t="s">
        <v>1497</v>
      </c>
      <c r="N683" s="92"/>
      <c r="O683" s="92"/>
      <c r="P683" s="93"/>
      <c r="Q683" s="92"/>
      <c r="R683" s="92"/>
      <c r="S683" s="92"/>
      <c r="T683" s="92"/>
      <c r="U683" s="92"/>
      <c r="V683" s="92"/>
      <c r="W683" s="92"/>
      <c r="X683" s="92"/>
      <c r="Y683" s="92"/>
      <c r="Z683" s="101"/>
      <c r="AA683" s="95"/>
      <c r="AB683" s="93"/>
      <c r="AC683" s="93"/>
      <c r="AD683" s="94"/>
      <c r="AE683" s="95"/>
      <c r="AF683" s="92"/>
    </row>
    <row r="684" spans="2:32" x14ac:dyDescent="0.3">
      <c r="B684" s="36"/>
      <c r="C684" s="36"/>
      <c r="E684" s="33"/>
      <c r="F684" s="33"/>
      <c r="G684" s="33"/>
      <c r="H684" s="33"/>
      <c r="I684" s="33"/>
      <c r="J684" s="36"/>
      <c r="K684" s="374"/>
      <c r="L684" s="375"/>
      <c r="M684" s="362"/>
      <c r="N684" s="36"/>
      <c r="O684" s="36"/>
      <c r="P684" s="50"/>
      <c r="Q684" s="36"/>
      <c r="R684" s="36"/>
      <c r="S684" s="36"/>
      <c r="T684" s="36"/>
      <c r="U684" s="36"/>
      <c r="V684" s="36"/>
      <c r="W684" s="36"/>
      <c r="X684" s="36"/>
      <c r="Y684" s="36"/>
      <c r="Z684" s="37"/>
      <c r="AA684" s="52"/>
      <c r="AB684" s="50"/>
      <c r="AC684" s="50"/>
      <c r="AD684" s="51"/>
      <c r="AE684" s="52"/>
      <c r="AF684" s="36"/>
    </row>
    <row r="685" spans="2:32" x14ac:dyDescent="0.3">
      <c r="B685" s="36"/>
      <c r="C685" s="36"/>
      <c r="E685" s="33">
        <v>1</v>
      </c>
      <c r="F685" s="70" t="s">
        <v>131</v>
      </c>
      <c r="G685" s="70" t="s">
        <v>131</v>
      </c>
      <c r="H685" s="33">
        <v>19</v>
      </c>
      <c r="I685" s="34">
        <v>8</v>
      </c>
      <c r="J685" s="36" t="s">
        <v>203</v>
      </c>
      <c r="K685" s="374" t="s">
        <v>290</v>
      </c>
      <c r="L685" s="375" t="s">
        <v>291</v>
      </c>
      <c r="M685" s="375" t="s">
        <v>292</v>
      </c>
      <c r="N685" s="36" t="s">
        <v>301</v>
      </c>
      <c r="O685" s="36" t="s">
        <v>301</v>
      </c>
      <c r="P685" s="50">
        <v>26787500</v>
      </c>
      <c r="Q685" s="36" t="s">
        <v>301</v>
      </c>
      <c r="R685" s="431">
        <f>P685+(P685*10%)</f>
        <v>29466250</v>
      </c>
      <c r="S685" s="36" t="s">
        <v>301</v>
      </c>
      <c r="T685" s="431">
        <f>R685+(R685*10%)</f>
        <v>32412875</v>
      </c>
      <c r="U685" s="36" t="s">
        <v>301</v>
      </c>
      <c r="V685" s="431">
        <f>T685+(T685*10%)</f>
        <v>35654162.5</v>
      </c>
      <c r="W685" s="36" t="s">
        <v>301</v>
      </c>
      <c r="X685" s="431">
        <f>V685+(V685*10%)</f>
        <v>39219578.75</v>
      </c>
      <c r="Y685" s="36" t="s">
        <v>301</v>
      </c>
      <c r="Z685" s="431">
        <f>X685+V685+T685+R685+P685</f>
        <v>163540366.25</v>
      </c>
      <c r="AA685" s="52" t="s">
        <v>66</v>
      </c>
      <c r="AB685" s="50"/>
      <c r="AC685" s="50"/>
      <c r="AD685" s="51"/>
      <c r="AE685" s="52"/>
      <c r="AF685" s="36" t="s">
        <v>66</v>
      </c>
    </row>
    <row r="686" spans="2:32" ht="28.5" x14ac:dyDescent="0.3">
      <c r="B686" s="36"/>
      <c r="C686" s="36"/>
      <c r="E686" s="33"/>
      <c r="F686" s="70"/>
      <c r="G686" s="70"/>
      <c r="H686" s="33"/>
      <c r="I686" s="34"/>
      <c r="J686" s="36"/>
      <c r="K686" s="374" t="s">
        <v>293</v>
      </c>
      <c r="L686" s="375" t="s">
        <v>291</v>
      </c>
      <c r="M686" s="362" t="s">
        <v>1328</v>
      </c>
      <c r="N686" s="36" t="s">
        <v>673</v>
      </c>
      <c r="O686" s="36" t="s">
        <v>673</v>
      </c>
      <c r="P686" s="50"/>
      <c r="Q686" s="36" t="s">
        <v>673</v>
      </c>
      <c r="R686" s="36"/>
      <c r="S686" s="36" t="s">
        <v>673</v>
      </c>
      <c r="T686" s="36"/>
      <c r="U686" s="36" t="s">
        <v>673</v>
      </c>
      <c r="V686" s="36"/>
      <c r="W686" s="36" t="s">
        <v>673</v>
      </c>
      <c r="X686" s="36"/>
      <c r="Y686" s="36" t="s">
        <v>673</v>
      </c>
      <c r="Z686" s="37"/>
      <c r="AA686" s="52" t="s">
        <v>66</v>
      </c>
      <c r="AB686" s="50">
        <v>12000</v>
      </c>
      <c r="AC686" s="50">
        <v>14400</v>
      </c>
      <c r="AD686" s="51" t="s">
        <v>66</v>
      </c>
      <c r="AE686" s="52" t="s">
        <v>81</v>
      </c>
      <c r="AF686" s="36"/>
    </row>
    <row r="687" spans="2:32" ht="28.5" x14ac:dyDescent="0.3">
      <c r="B687" s="36"/>
      <c r="C687" s="36"/>
      <c r="E687" s="33"/>
      <c r="F687" s="70"/>
      <c r="G687" s="70"/>
      <c r="H687" s="33"/>
      <c r="I687" s="34"/>
      <c r="J687" s="36"/>
      <c r="K687" s="374" t="s">
        <v>294</v>
      </c>
      <c r="L687" s="375" t="s">
        <v>291</v>
      </c>
      <c r="M687" s="362" t="s">
        <v>1498</v>
      </c>
      <c r="N687" s="41">
        <v>1</v>
      </c>
      <c r="O687" s="41">
        <v>1</v>
      </c>
      <c r="P687" s="50"/>
      <c r="Q687" s="41">
        <v>1</v>
      </c>
      <c r="R687" s="36"/>
      <c r="S687" s="41">
        <v>1</v>
      </c>
      <c r="T687" s="36"/>
      <c r="U687" s="41">
        <v>1</v>
      </c>
      <c r="V687" s="36"/>
      <c r="W687" s="41">
        <v>1</v>
      </c>
      <c r="X687" s="36"/>
      <c r="Y687" s="41">
        <v>1</v>
      </c>
      <c r="Z687" s="37"/>
      <c r="AA687" s="52"/>
      <c r="AB687" s="50"/>
      <c r="AC687" s="50"/>
      <c r="AD687" s="51"/>
      <c r="AE687" s="52"/>
      <c r="AF687" s="36"/>
    </row>
    <row r="688" spans="2:32" x14ac:dyDescent="0.3">
      <c r="B688" s="36"/>
      <c r="C688" s="36"/>
      <c r="E688" s="33"/>
      <c r="F688" s="70"/>
      <c r="G688" s="70"/>
      <c r="H688" s="33"/>
      <c r="I688" s="34"/>
      <c r="J688" s="36"/>
      <c r="K688" s="374" t="s">
        <v>295</v>
      </c>
      <c r="L688" s="375" t="s">
        <v>291</v>
      </c>
      <c r="M688" s="362" t="s">
        <v>1496</v>
      </c>
      <c r="N688" s="36"/>
      <c r="O688" s="36"/>
      <c r="P688" s="50"/>
      <c r="Q688" s="36"/>
      <c r="R688" s="36"/>
      <c r="S688" s="36"/>
      <c r="T688" s="36"/>
      <c r="U688" s="36"/>
      <c r="V688" s="36"/>
      <c r="W688" s="36"/>
      <c r="X688" s="36"/>
      <c r="Y688" s="36"/>
      <c r="Z688" s="37"/>
      <c r="AA688" s="52"/>
      <c r="AB688" s="50"/>
      <c r="AC688" s="50"/>
      <c r="AD688" s="51"/>
      <c r="AE688" s="52"/>
      <c r="AF688" s="36"/>
    </row>
    <row r="689" spans="2:32" x14ac:dyDescent="0.3">
      <c r="B689" s="92"/>
      <c r="C689" s="92"/>
      <c r="D689" s="445"/>
      <c r="E689" s="91"/>
      <c r="F689" s="409"/>
      <c r="G689" s="409"/>
      <c r="H689" s="91"/>
      <c r="I689" s="376"/>
      <c r="J689" s="92"/>
      <c r="K689" s="377" t="s">
        <v>297</v>
      </c>
      <c r="L689" s="378" t="s">
        <v>291</v>
      </c>
      <c r="M689" s="386" t="s">
        <v>1497</v>
      </c>
      <c r="N689" s="92"/>
      <c r="O689" s="92"/>
      <c r="P689" s="93"/>
      <c r="Q689" s="92"/>
      <c r="R689" s="92"/>
      <c r="S689" s="92"/>
      <c r="T689" s="92"/>
      <c r="U689" s="92"/>
      <c r="V689" s="92"/>
      <c r="W689" s="92"/>
      <c r="X689" s="92"/>
      <c r="Y689" s="92"/>
      <c r="Z689" s="101"/>
      <c r="AA689" s="95"/>
      <c r="AB689" s="93"/>
      <c r="AC689" s="93"/>
      <c r="AD689" s="94"/>
      <c r="AE689" s="95"/>
      <c r="AF689" s="92"/>
    </row>
    <row r="690" spans="2:32" x14ac:dyDescent="0.3">
      <c r="B690" s="36"/>
      <c r="C690" s="36"/>
      <c r="E690" s="33"/>
      <c r="F690" s="70"/>
      <c r="G690" s="70"/>
      <c r="H690" s="33"/>
      <c r="I690" s="34"/>
      <c r="J690" s="36"/>
      <c r="K690" s="374"/>
      <c r="L690" s="375"/>
      <c r="M690" s="362"/>
      <c r="N690" s="36"/>
      <c r="O690" s="36"/>
      <c r="P690" s="50"/>
      <c r="Q690" s="36"/>
      <c r="R690" s="36"/>
      <c r="S690" s="36"/>
      <c r="T690" s="36"/>
      <c r="U690" s="36"/>
      <c r="V690" s="36"/>
      <c r="W690" s="36"/>
      <c r="X690" s="36"/>
      <c r="Y690" s="36"/>
      <c r="Z690" s="37"/>
      <c r="AA690" s="52"/>
      <c r="AB690" s="50"/>
      <c r="AC690" s="50"/>
      <c r="AD690" s="51"/>
      <c r="AE690" s="52"/>
      <c r="AF690" s="36"/>
    </row>
    <row r="691" spans="2:32" ht="28.5" x14ac:dyDescent="0.3">
      <c r="B691" s="36"/>
      <c r="C691" s="36"/>
      <c r="E691" s="33">
        <v>1</v>
      </c>
      <c r="F691" s="70" t="s">
        <v>131</v>
      </c>
      <c r="G691" s="70" t="s">
        <v>131</v>
      </c>
      <c r="H691" s="33">
        <v>19</v>
      </c>
      <c r="I691" s="70">
        <v>11</v>
      </c>
      <c r="J691" s="36" t="s">
        <v>204</v>
      </c>
      <c r="K691" s="374" t="s">
        <v>290</v>
      </c>
      <c r="L691" s="375" t="s">
        <v>291</v>
      </c>
      <c r="M691" s="375" t="s">
        <v>292</v>
      </c>
      <c r="N691" s="36" t="s">
        <v>301</v>
      </c>
      <c r="O691" s="36" t="s">
        <v>301</v>
      </c>
      <c r="P691" s="50">
        <v>44565000</v>
      </c>
      <c r="Q691" s="36" t="s">
        <v>301</v>
      </c>
      <c r="R691" s="431">
        <f>P691+(P691*10%)</f>
        <v>49021500</v>
      </c>
      <c r="S691" s="36" t="s">
        <v>301</v>
      </c>
      <c r="T691" s="431">
        <f>R691+(R691*10%)</f>
        <v>53923650</v>
      </c>
      <c r="U691" s="36" t="s">
        <v>301</v>
      </c>
      <c r="V691" s="431">
        <f>T691+(T691*10%)</f>
        <v>59316015</v>
      </c>
      <c r="W691" s="36" t="s">
        <v>301</v>
      </c>
      <c r="X691" s="431">
        <f>V691+(V691*10%)</f>
        <v>65247616.5</v>
      </c>
      <c r="Y691" s="36" t="s">
        <v>301</v>
      </c>
      <c r="Z691" s="431">
        <f>X691+V691+T691+R691+P691</f>
        <v>272073781.5</v>
      </c>
      <c r="AA691" s="52"/>
      <c r="AB691" s="50"/>
      <c r="AC691" s="50"/>
      <c r="AD691" s="51"/>
      <c r="AE691" s="52"/>
      <c r="AF691" s="36"/>
    </row>
    <row r="692" spans="2:32" ht="42.75" x14ac:dyDescent="0.3">
      <c r="B692" s="36"/>
      <c r="C692" s="36"/>
      <c r="E692" s="33"/>
      <c r="F692" s="33"/>
      <c r="G692" s="33"/>
      <c r="H692" s="33"/>
      <c r="I692" s="33"/>
      <c r="J692" s="36"/>
      <c r="K692" s="374" t="s">
        <v>293</v>
      </c>
      <c r="L692" s="375" t="s">
        <v>291</v>
      </c>
      <c r="M692" s="362" t="s">
        <v>674</v>
      </c>
      <c r="N692" s="36" t="s">
        <v>691</v>
      </c>
      <c r="O692" s="36" t="s">
        <v>691</v>
      </c>
      <c r="P692" s="50"/>
      <c r="Q692" s="36" t="s">
        <v>691</v>
      </c>
      <c r="R692" s="36"/>
      <c r="S692" s="36" t="s">
        <v>691</v>
      </c>
      <c r="T692" s="36"/>
      <c r="U692" s="36" t="s">
        <v>691</v>
      </c>
      <c r="V692" s="36"/>
      <c r="W692" s="36" t="s">
        <v>691</v>
      </c>
      <c r="X692" s="36"/>
      <c r="Y692" s="36" t="s">
        <v>691</v>
      </c>
      <c r="Z692" s="37"/>
      <c r="AA692" s="52"/>
      <c r="AB692" s="50"/>
      <c r="AC692" s="50"/>
      <c r="AD692" s="51"/>
      <c r="AE692" s="52"/>
      <c r="AF692" s="36"/>
    </row>
    <row r="693" spans="2:32" ht="28.5" x14ac:dyDescent="0.3">
      <c r="B693" s="36"/>
      <c r="C693" s="36"/>
      <c r="E693" s="33"/>
      <c r="F693" s="33"/>
      <c r="G693" s="33"/>
      <c r="H693" s="33"/>
      <c r="I693" s="33"/>
      <c r="J693" s="36"/>
      <c r="K693" s="374" t="s">
        <v>294</v>
      </c>
      <c r="L693" s="375" t="s">
        <v>291</v>
      </c>
      <c r="M693" s="362" t="s">
        <v>1499</v>
      </c>
      <c r="N693" s="41">
        <v>1</v>
      </c>
      <c r="O693" s="41">
        <v>1</v>
      </c>
      <c r="P693" s="50"/>
      <c r="Q693" s="41">
        <v>1</v>
      </c>
      <c r="R693" s="36"/>
      <c r="S693" s="41">
        <v>1</v>
      </c>
      <c r="T693" s="36"/>
      <c r="U693" s="41">
        <v>1</v>
      </c>
      <c r="V693" s="36"/>
      <c r="W693" s="41">
        <v>1</v>
      </c>
      <c r="X693" s="36"/>
      <c r="Y693" s="41">
        <v>1</v>
      </c>
      <c r="Z693" s="37"/>
      <c r="AA693" s="52"/>
      <c r="AB693" s="50"/>
      <c r="AC693" s="50"/>
      <c r="AD693" s="51"/>
      <c r="AE693" s="52"/>
      <c r="AF693" s="36"/>
    </row>
    <row r="694" spans="2:32" x14ac:dyDescent="0.3">
      <c r="B694" s="36"/>
      <c r="C694" s="36"/>
      <c r="E694" s="33"/>
      <c r="F694" s="33"/>
      <c r="G694" s="33"/>
      <c r="H694" s="33"/>
      <c r="I694" s="33"/>
      <c r="J694" s="36"/>
      <c r="K694" s="374" t="s">
        <v>295</v>
      </c>
      <c r="L694" s="375" t="s">
        <v>291</v>
      </c>
      <c r="M694" s="362" t="s">
        <v>1496</v>
      </c>
      <c r="N694" s="36"/>
      <c r="O694" s="36"/>
      <c r="P694" s="50"/>
      <c r="Q694" s="36"/>
      <c r="R694" s="36"/>
      <c r="S694" s="36"/>
      <c r="T694" s="36"/>
      <c r="U694" s="36"/>
      <c r="V694" s="36"/>
      <c r="W694" s="36"/>
      <c r="X694" s="36"/>
      <c r="Y694" s="36"/>
      <c r="Z694" s="37"/>
      <c r="AA694" s="52"/>
      <c r="AB694" s="50"/>
      <c r="AC694" s="50"/>
      <c r="AD694" s="51"/>
      <c r="AE694" s="52"/>
      <c r="AF694" s="36"/>
    </row>
    <row r="695" spans="2:32" x14ac:dyDescent="0.3">
      <c r="B695" s="92"/>
      <c r="C695" s="92"/>
      <c r="D695" s="445"/>
      <c r="E695" s="91"/>
      <c r="F695" s="91"/>
      <c r="G695" s="91"/>
      <c r="H695" s="91"/>
      <c r="I695" s="91"/>
      <c r="J695" s="92"/>
      <c r="K695" s="377" t="s">
        <v>297</v>
      </c>
      <c r="L695" s="378" t="s">
        <v>291</v>
      </c>
      <c r="M695" s="386" t="s">
        <v>1497</v>
      </c>
      <c r="N695" s="92"/>
      <c r="O695" s="92"/>
      <c r="P695" s="93"/>
      <c r="Q695" s="92"/>
      <c r="R695" s="92"/>
      <c r="S695" s="92"/>
      <c r="T695" s="92"/>
      <c r="U695" s="92"/>
      <c r="V695" s="92"/>
      <c r="W695" s="92"/>
      <c r="X695" s="92"/>
      <c r="Y695" s="92"/>
      <c r="Z695" s="101"/>
      <c r="AA695" s="95"/>
      <c r="AB695" s="93"/>
      <c r="AC695" s="93"/>
      <c r="AD695" s="94"/>
      <c r="AE695" s="95"/>
      <c r="AF695" s="92"/>
    </row>
    <row r="696" spans="2:32" x14ac:dyDescent="0.3">
      <c r="B696" s="36"/>
      <c r="C696" s="36"/>
      <c r="E696" s="33"/>
      <c r="F696" s="33"/>
      <c r="G696" s="33"/>
      <c r="H696" s="33"/>
      <c r="I696" s="33"/>
      <c r="J696" s="36"/>
      <c r="K696" s="374"/>
      <c r="L696" s="375"/>
      <c r="M696" s="362"/>
      <c r="N696" s="36"/>
      <c r="O696" s="36"/>
      <c r="P696" s="50"/>
      <c r="Q696" s="36"/>
      <c r="R696" s="36"/>
      <c r="S696" s="36"/>
      <c r="T696" s="36"/>
      <c r="U696" s="36"/>
      <c r="V696" s="36"/>
      <c r="W696" s="36"/>
      <c r="X696" s="36"/>
      <c r="Y696" s="36"/>
      <c r="Z696" s="37"/>
      <c r="AA696" s="52"/>
      <c r="AB696" s="50"/>
      <c r="AC696" s="50"/>
      <c r="AD696" s="51"/>
      <c r="AE696" s="52"/>
      <c r="AF696" s="36"/>
    </row>
    <row r="697" spans="2:32" ht="28.5" x14ac:dyDescent="0.3">
      <c r="B697" s="36"/>
      <c r="C697" s="36"/>
      <c r="E697" s="26"/>
      <c r="F697" s="26"/>
      <c r="G697" s="26"/>
      <c r="H697" s="26"/>
      <c r="I697" s="26"/>
      <c r="J697" s="27" t="s">
        <v>60</v>
      </c>
      <c r="K697" s="35"/>
      <c r="L697" s="39"/>
      <c r="M697" s="362"/>
      <c r="N697" s="36"/>
      <c r="O697" s="36"/>
      <c r="P697" s="82"/>
      <c r="Q697" s="36"/>
      <c r="R697" s="36"/>
      <c r="S697" s="36"/>
      <c r="T697" s="36"/>
      <c r="U697" s="36"/>
      <c r="V697" s="36"/>
      <c r="W697" s="36"/>
      <c r="X697" s="36"/>
      <c r="Y697" s="36"/>
      <c r="Z697" s="37"/>
      <c r="AA697" s="75"/>
      <c r="AB697" s="50">
        <v>70000</v>
      </c>
      <c r="AC697" s="50">
        <v>90000</v>
      </c>
      <c r="AD697" s="51" t="s">
        <v>66</v>
      </c>
      <c r="AE697" s="52" t="s">
        <v>81</v>
      </c>
      <c r="AF697" s="27"/>
    </row>
    <row r="698" spans="2:32" s="87" customFormat="1" ht="27" x14ac:dyDescent="0.25">
      <c r="B698" s="504" t="s">
        <v>1560</v>
      </c>
      <c r="C698" s="504" t="s">
        <v>1562</v>
      </c>
      <c r="D698" s="434"/>
      <c r="E698" s="26">
        <v>1</v>
      </c>
      <c r="F698" s="69" t="s">
        <v>131</v>
      </c>
      <c r="G698" s="69" t="s">
        <v>131</v>
      </c>
      <c r="H698" s="26">
        <v>20</v>
      </c>
      <c r="I698" s="26"/>
      <c r="J698" s="27" t="s">
        <v>205</v>
      </c>
      <c r="K698" s="496" t="s">
        <v>1329</v>
      </c>
      <c r="L698" s="497"/>
      <c r="M698" s="498"/>
      <c r="N698" s="372">
        <v>1</v>
      </c>
      <c r="O698" s="372">
        <v>1</v>
      </c>
      <c r="P698" s="82">
        <f>SUM(P700:P723)</f>
        <v>156782500</v>
      </c>
      <c r="Q698" s="372">
        <v>1</v>
      </c>
      <c r="R698" s="82">
        <f>SUM(R700:R723)</f>
        <v>172460750</v>
      </c>
      <c r="S698" s="372">
        <v>1</v>
      </c>
      <c r="T698" s="82">
        <f>SUM(T700:T723)</f>
        <v>189706825</v>
      </c>
      <c r="U698" s="372">
        <v>1</v>
      </c>
      <c r="V698" s="82">
        <f>SUM(V700:V723)</f>
        <v>208677507.5</v>
      </c>
      <c r="W698" s="372">
        <v>1</v>
      </c>
      <c r="X698" s="82">
        <f>SUM(X700:X723)</f>
        <v>229545258.25</v>
      </c>
      <c r="Y698" s="372">
        <v>1</v>
      </c>
      <c r="Z698" s="430">
        <f>X698+V698+T698+R698+P698</f>
        <v>957172840.75</v>
      </c>
      <c r="AA698" s="75"/>
      <c r="AB698" s="82"/>
      <c r="AC698" s="82"/>
      <c r="AD698" s="83"/>
      <c r="AE698" s="75"/>
      <c r="AF698" s="27" t="s">
        <v>75</v>
      </c>
    </row>
    <row r="699" spans="2:32" ht="28.5" x14ac:dyDescent="0.3">
      <c r="B699" s="504"/>
      <c r="C699" s="504"/>
      <c r="E699" s="33"/>
      <c r="F699" s="33"/>
      <c r="G699" s="33"/>
      <c r="H699" s="33"/>
      <c r="I699" s="26"/>
      <c r="J699" s="27" t="s">
        <v>63</v>
      </c>
      <c r="K699" s="35"/>
      <c r="L699" s="39"/>
      <c r="M699" s="362"/>
      <c r="N699" s="372"/>
      <c r="O699" s="372"/>
      <c r="P699" s="82"/>
      <c r="Q699" s="372"/>
      <c r="R699" s="36"/>
      <c r="S699" s="372"/>
      <c r="T699" s="36"/>
      <c r="U699" s="372"/>
      <c r="V699" s="36"/>
      <c r="W699" s="372"/>
      <c r="X699" s="36"/>
      <c r="Y699" s="372"/>
      <c r="Z699" s="37"/>
      <c r="AA699" s="75"/>
      <c r="AB699" s="50">
        <v>23170</v>
      </c>
      <c r="AC699" s="50">
        <v>39537.300000000003</v>
      </c>
      <c r="AD699" s="51" t="s">
        <v>66</v>
      </c>
      <c r="AE699" s="52" t="s">
        <v>81</v>
      </c>
      <c r="AF699" s="27"/>
    </row>
    <row r="700" spans="2:32" x14ac:dyDescent="0.3">
      <c r="B700" s="504"/>
      <c r="C700" s="504"/>
      <c r="E700" s="33">
        <v>1</v>
      </c>
      <c r="F700" s="70" t="s">
        <v>131</v>
      </c>
      <c r="G700" s="70" t="s">
        <v>131</v>
      </c>
      <c r="H700" s="33">
        <v>20</v>
      </c>
      <c r="I700" s="34">
        <v>4</v>
      </c>
      <c r="J700" s="36" t="s">
        <v>206</v>
      </c>
      <c r="K700" s="374" t="s">
        <v>290</v>
      </c>
      <c r="L700" s="375" t="s">
        <v>291</v>
      </c>
      <c r="M700" s="375" t="s">
        <v>292</v>
      </c>
      <c r="N700" s="36" t="s">
        <v>301</v>
      </c>
      <c r="O700" s="36" t="s">
        <v>301</v>
      </c>
      <c r="P700" s="84">
        <v>70125000</v>
      </c>
      <c r="Q700" s="36" t="s">
        <v>301</v>
      </c>
      <c r="R700" s="431">
        <f>P700+(P700*10%)</f>
        <v>77137500</v>
      </c>
      <c r="S700" s="36" t="s">
        <v>301</v>
      </c>
      <c r="T700" s="431">
        <f>R700+(R700*10%)</f>
        <v>84851250</v>
      </c>
      <c r="U700" s="36" t="s">
        <v>301</v>
      </c>
      <c r="V700" s="431">
        <f>T700+(T700*10%)</f>
        <v>93336375</v>
      </c>
      <c r="W700" s="36" t="s">
        <v>301</v>
      </c>
      <c r="X700" s="431">
        <f>V700+(V700*10%)</f>
        <v>102670012.5</v>
      </c>
      <c r="Y700" s="36" t="s">
        <v>301</v>
      </c>
      <c r="Z700" s="431">
        <f>X700+V700+T700+R700+P700</f>
        <v>428120137.5</v>
      </c>
      <c r="AA700" s="52" t="s">
        <v>66</v>
      </c>
      <c r="AB700" s="50"/>
      <c r="AC700" s="50"/>
      <c r="AD700" s="51"/>
      <c r="AE700" s="52"/>
      <c r="AF700" s="36" t="s">
        <v>156</v>
      </c>
    </row>
    <row r="701" spans="2:32" ht="42.75" x14ac:dyDescent="0.3">
      <c r="B701" s="504"/>
      <c r="C701" s="504"/>
      <c r="E701" s="33"/>
      <c r="F701" s="33"/>
      <c r="G701" s="33"/>
      <c r="H701" s="33"/>
      <c r="I701" s="33"/>
      <c r="J701" s="36"/>
      <c r="K701" s="374" t="s">
        <v>293</v>
      </c>
      <c r="L701" s="375" t="s">
        <v>291</v>
      </c>
      <c r="M701" s="362" t="s">
        <v>1330</v>
      </c>
      <c r="N701" s="36" t="s">
        <v>785</v>
      </c>
      <c r="O701" s="36" t="s">
        <v>785</v>
      </c>
      <c r="P701" s="50"/>
      <c r="Q701" s="36" t="s">
        <v>785</v>
      </c>
      <c r="R701" s="36"/>
      <c r="S701" s="36" t="s">
        <v>785</v>
      </c>
      <c r="T701" s="36"/>
      <c r="U701" s="36" t="s">
        <v>785</v>
      </c>
      <c r="V701" s="36"/>
      <c r="W701" s="36" t="s">
        <v>785</v>
      </c>
      <c r="X701" s="36"/>
      <c r="Y701" s="36" t="s">
        <v>785</v>
      </c>
      <c r="Z701" s="37"/>
      <c r="AA701" s="52"/>
      <c r="AB701" s="50">
        <v>10000</v>
      </c>
      <c r="AC701" s="50">
        <v>17000</v>
      </c>
      <c r="AD701" s="51" t="s">
        <v>66</v>
      </c>
      <c r="AE701" s="52" t="s">
        <v>81</v>
      </c>
      <c r="AF701" s="36"/>
    </row>
    <row r="702" spans="2:32" ht="42.75" x14ac:dyDescent="0.3">
      <c r="B702" s="504"/>
      <c r="C702" s="504"/>
      <c r="E702" s="33"/>
      <c r="F702" s="33"/>
      <c r="G702" s="33"/>
      <c r="H702" s="33"/>
      <c r="I702" s="33"/>
      <c r="J702" s="36"/>
      <c r="K702" s="37"/>
      <c r="L702" s="375" t="s">
        <v>291</v>
      </c>
      <c r="M702" s="362" t="s">
        <v>1331</v>
      </c>
      <c r="N702" s="36" t="s">
        <v>670</v>
      </c>
      <c r="O702" s="36" t="s">
        <v>670</v>
      </c>
      <c r="P702" s="50"/>
      <c r="Q702" s="36" t="s">
        <v>670</v>
      </c>
      <c r="R702" s="36"/>
      <c r="S702" s="36" t="s">
        <v>670</v>
      </c>
      <c r="T702" s="36"/>
      <c r="U702" s="36" t="s">
        <v>670</v>
      </c>
      <c r="V702" s="36"/>
      <c r="W702" s="36" t="s">
        <v>670</v>
      </c>
      <c r="X702" s="36"/>
      <c r="Y702" s="36" t="s">
        <v>670</v>
      </c>
      <c r="Z702" s="37"/>
      <c r="AA702" s="52"/>
      <c r="AB702" s="50"/>
      <c r="AC702" s="50"/>
      <c r="AD702" s="51"/>
      <c r="AE702" s="52"/>
      <c r="AF702" s="36"/>
    </row>
    <row r="703" spans="2:32" ht="28.5" x14ac:dyDescent="0.3">
      <c r="B703" s="504"/>
      <c r="C703" s="36"/>
      <c r="E703" s="33"/>
      <c r="F703" s="33"/>
      <c r="G703" s="33"/>
      <c r="H703" s="33"/>
      <c r="I703" s="33"/>
      <c r="J703" s="36"/>
      <c r="K703" s="37"/>
      <c r="L703" s="375" t="s">
        <v>291</v>
      </c>
      <c r="M703" s="362" t="s">
        <v>1332</v>
      </c>
      <c r="N703" s="36" t="s">
        <v>670</v>
      </c>
      <c r="O703" s="36" t="s">
        <v>670</v>
      </c>
      <c r="P703" s="50"/>
      <c r="Q703" s="36" t="s">
        <v>670</v>
      </c>
      <c r="R703" s="36"/>
      <c r="S703" s="36" t="s">
        <v>670</v>
      </c>
      <c r="T703" s="36"/>
      <c r="U703" s="36" t="s">
        <v>670</v>
      </c>
      <c r="V703" s="36"/>
      <c r="W703" s="36" t="s">
        <v>670</v>
      </c>
      <c r="X703" s="36"/>
      <c r="Y703" s="36" t="s">
        <v>670</v>
      </c>
      <c r="Z703" s="37"/>
      <c r="AA703" s="52"/>
      <c r="AB703" s="50">
        <v>50000</v>
      </c>
      <c r="AC703" s="50">
        <f>AB703+(AB703*20%)</f>
        <v>60000</v>
      </c>
      <c r="AD703" s="51" t="s">
        <v>66</v>
      </c>
      <c r="AE703" s="52" t="s">
        <v>81</v>
      </c>
      <c r="AF703" s="36"/>
    </row>
    <row r="704" spans="2:32" x14ac:dyDescent="0.3">
      <c r="B704" s="504"/>
      <c r="C704" s="36"/>
      <c r="E704" s="33"/>
      <c r="F704" s="33"/>
      <c r="G704" s="33"/>
      <c r="H704" s="33"/>
      <c r="I704" s="33"/>
      <c r="J704" s="36"/>
      <c r="K704" s="37"/>
      <c r="L704" s="375" t="s">
        <v>291</v>
      </c>
      <c r="M704" s="362" t="s">
        <v>1333</v>
      </c>
      <c r="N704" s="36" t="s">
        <v>670</v>
      </c>
      <c r="O704" s="36" t="s">
        <v>670</v>
      </c>
      <c r="P704" s="50"/>
      <c r="Q704" s="36" t="s">
        <v>670</v>
      </c>
      <c r="R704" s="36"/>
      <c r="S704" s="36" t="s">
        <v>670</v>
      </c>
      <c r="T704" s="36"/>
      <c r="U704" s="36" t="s">
        <v>670</v>
      </c>
      <c r="V704" s="36"/>
      <c r="W704" s="36" t="s">
        <v>670</v>
      </c>
      <c r="X704" s="36"/>
      <c r="Y704" s="36" t="s">
        <v>670</v>
      </c>
      <c r="Z704" s="37"/>
      <c r="AA704" s="52"/>
      <c r="AB704" s="50"/>
      <c r="AC704" s="50"/>
      <c r="AD704" s="51"/>
      <c r="AE704" s="52"/>
      <c r="AF704" s="36"/>
    </row>
    <row r="705" spans="2:32" ht="28.5" x14ac:dyDescent="0.3">
      <c r="B705" s="504"/>
      <c r="C705" s="36"/>
      <c r="E705" s="33"/>
      <c r="F705" s="33"/>
      <c r="G705" s="33"/>
      <c r="H705" s="33"/>
      <c r="I705" s="33"/>
      <c r="J705" s="36"/>
      <c r="K705" s="37"/>
      <c r="L705" s="375" t="s">
        <v>291</v>
      </c>
      <c r="M705" s="362" t="s">
        <v>1334</v>
      </c>
      <c r="N705" s="36" t="s">
        <v>790</v>
      </c>
      <c r="O705" s="36" t="s">
        <v>790</v>
      </c>
      <c r="P705" s="50"/>
      <c r="Q705" s="36" t="s">
        <v>790</v>
      </c>
      <c r="R705" s="36"/>
      <c r="S705" s="36" t="s">
        <v>790</v>
      </c>
      <c r="T705" s="36"/>
      <c r="U705" s="36" t="s">
        <v>790</v>
      </c>
      <c r="V705" s="36"/>
      <c r="W705" s="36" t="s">
        <v>790</v>
      </c>
      <c r="X705" s="36"/>
      <c r="Y705" s="36" t="s">
        <v>790</v>
      </c>
      <c r="Z705" s="37"/>
      <c r="AA705" s="52"/>
      <c r="AB705" s="50">
        <v>38505</v>
      </c>
      <c r="AC705" s="50">
        <v>324500</v>
      </c>
      <c r="AD705" s="51" t="s">
        <v>66</v>
      </c>
      <c r="AE705" s="52" t="s">
        <v>81</v>
      </c>
      <c r="AF705" s="36"/>
    </row>
    <row r="706" spans="2:32" ht="28.5" x14ac:dyDescent="0.3">
      <c r="B706" s="36"/>
      <c r="C706" s="36"/>
      <c r="E706" s="33"/>
      <c r="F706" s="33"/>
      <c r="G706" s="33"/>
      <c r="H706" s="33"/>
      <c r="I706" s="33"/>
      <c r="J706" s="36"/>
      <c r="K706" s="374" t="s">
        <v>294</v>
      </c>
      <c r="L706" s="375" t="s">
        <v>291</v>
      </c>
      <c r="M706" s="362" t="s">
        <v>1500</v>
      </c>
      <c r="N706" s="41">
        <v>1</v>
      </c>
      <c r="O706" s="41">
        <v>1</v>
      </c>
      <c r="P706" s="50"/>
      <c r="Q706" s="41">
        <v>1</v>
      </c>
      <c r="R706" s="36"/>
      <c r="S706" s="41">
        <v>1</v>
      </c>
      <c r="T706" s="36"/>
      <c r="U706" s="41">
        <v>1</v>
      </c>
      <c r="V706" s="36"/>
      <c r="W706" s="41">
        <v>1</v>
      </c>
      <c r="X706" s="36"/>
      <c r="Y706" s="41">
        <v>1</v>
      </c>
      <c r="Z706" s="37"/>
      <c r="AA706" s="52"/>
      <c r="AB706" s="50"/>
      <c r="AC706" s="50"/>
      <c r="AD706" s="51"/>
      <c r="AE706" s="52"/>
      <c r="AF706" s="36"/>
    </row>
    <row r="707" spans="2:32" x14ac:dyDescent="0.3">
      <c r="B707" s="36"/>
      <c r="C707" s="36"/>
      <c r="E707" s="33"/>
      <c r="F707" s="33"/>
      <c r="G707" s="33"/>
      <c r="H707" s="33"/>
      <c r="I707" s="33"/>
      <c r="J707" s="36"/>
      <c r="K707" s="374" t="s">
        <v>295</v>
      </c>
      <c r="L707" s="375" t="s">
        <v>291</v>
      </c>
      <c r="M707" s="384" t="s">
        <v>1493</v>
      </c>
      <c r="N707" s="36"/>
      <c r="O707" s="36"/>
      <c r="P707" s="50"/>
      <c r="Q707" s="36"/>
      <c r="R707" s="36"/>
      <c r="S707" s="36"/>
      <c r="T707" s="36"/>
      <c r="U707" s="36"/>
      <c r="V707" s="36"/>
      <c r="W707" s="36"/>
      <c r="X707" s="36"/>
      <c r="Y707" s="36"/>
      <c r="Z707" s="37"/>
      <c r="AA707" s="52"/>
      <c r="AB707" s="50"/>
      <c r="AC707" s="50"/>
      <c r="AD707" s="51"/>
      <c r="AE707" s="52"/>
      <c r="AF707" s="36"/>
    </row>
    <row r="708" spans="2:32" x14ac:dyDescent="0.3">
      <c r="B708" s="92"/>
      <c r="C708" s="92"/>
      <c r="D708" s="445"/>
      <c r="E708" s="91"/>
      <c r="F708" s="91"/>
      <c r="G708" s="91"/>
      <c r="H708" s="91"/>
      <c r="I708" s="91"/>
      <c r="J708" s="92"/>
      <c r="K708" s="377" t="s">
        <v>297</v>
      </c>
      <c r="L708" s="378" t="s">
        <v>291</v>
      </c>
      <c r="M708" s="385" t="s">
        <v>1494</v>
      </c>
      <c r="N708" s="92"/>
      <c r="O708" s="92"/>
      <c r="P708" s="93"/>
      <c r="Q708" s="92"/>
      <c r="R708" s="92"/>
      <c r="S708" s="92"/>
      <c r="T708" s="92"/>
      <c r="U708" s="92"/>
      <c r="V708" s="92"/>
      <c r="W708" s="92"/>
      <c r="X708" s="92"/>
      <c r="Y708" s="92"/>
      <c r="Z708" s="101"/>
      <c r="AA708" s="95"/>
      <c r="AB708" s="93"/>
      <c r="AC708" s="93"/>
      <c r="AD708" s="94"/>
      <c r="AE708" s="95"/>
      <c r="AF708" s="92"/>
    </row>
    <row r="709" spans="2:32" x14ac:dyDescent="0.3">
      <c r="B709" s="36"/>
      <c r="C709" s="36"/>
      <c r="E709" s="33"/>
      <c r="F709" s="33"/>
      <c r="G709" s="33"/>
      <c r="H709" s="33"/>
      <c r="I709" s="33"/>
      <c r="J709" s="36"/>
      <c r="K709" s="37"/>
      <c r="L709" s="375"/>
      <c r="M709" s="362"/>
      <c r="N709" s="36"/>
      <c r="O709" s="36"/>
      <c r="P709" s="50"/>
      <c r="Q709" s="36"/>
      <c r="R709" s="36"/>
      <c r="S709" s="36"/>
      <c r="T709" s="36"/>
      <c r="U709" s="36"/>
      <c r="V709" s="36"/>
      <c r="W709" s="36"/>
      <c r="X709" s="36"/>
      <c r="Y709" s="36"/>
      <c r="Z709" s="37"/>
      <c r="AA709" s="52"/>
      <c r="AB709" s="50"/>
      <c r="AC709" s="50"/>
      <c r="AD709" s="51"/>
      <c r="AE709" s="52"/>
      <c r="AF709" s="36"/>
    </row>
    <row r="710" spans="2:32" x14ac:dyDescent="0.3">
      <c r="B710" s="36"/>
      <c r="C710" s="36"/>
      <c r="E710" s="33">
        <v>1</v>
      </c>
      <c r="F710" s="70" t="s">
        <v>131</v>
      </c>
      <c r="G710" s="70" t="s">
        <v>131</v>
      </c>
      <c r="H710" s="33">
        <v>20</v>
      </c>
      <c r="I710" s="34">
        <v>6</v>
      </c>
      <c r="J710" s="36" t="s">
        <v>207</v>
      </c>
      <c r="K710" s="374" t="s">
        <v>290</v>
      </c>
      <c r="L710" s="375" t="s">
        <v>291</v>
      </c>
      <c r="M710" s="375" t="s">
        <v>292</v>
      </c>
      <c r="N710" s="36" t="s">
        <v>301</v>
      </c>
      <c r="O710" s="36" t="s">
        <v>301</v>
      </c>
      <c r="P710" s="50">
        <v>8850000</v>
      </c>
      <c r="Q710" s="36" t="s">
        <v>301</v>
      </c>
      <c r="R710" s="431">
        <f>P710+(P710*10%)</f>
        <v>9735000</v>
      </c>
      <c r="S710" s="36" t="s">
        <v>301</v>
      </c>
      <c r="T710" s="431">
        <f>R710+(R710*10%)</f>
        <v>10708500</v>
      </c>
      <c r="U710" s="36" t="s">
        <v>301</v>
      </c>
      <c r="V710" s="431">
        <f>T710+(T710*10%)</f>
        <v>11779350</v>
      </c>
      <c r="W710" s="36" t="s">
        <v>301</v>
      </c>
      <c r="X710" s="431">
        <f>V710+(V710*10%)</f>
        <v>12957285</v>
      </c>
      <c r="Y710" s="36" t="s">
        <v>301</v>
      </c>
      <c r="Z710" s="431">
        <f>X710+V710+T710+R710+P710</f>
        <v>54030135</v>
      </c>
      <c r="AA710" s="52" t="s">
        <v>66</v>
      </c>
      <c r="AB710" s="50"/>
      <c r="AC710" s="50"/>
      <c r="AD710" s="51"/>
      <c r="AE710" s="52"/>
      <c r="AF710" s="36" t="s">
        <v>66</v>
      </c>
    </row>
    <row r="711" spans="2:32" ht="28.5" x14ac:dyDescent="0.3">
      <c r="B711" s="36"/>
      <c r="C711" s="36"/>
      <c r="E711" s="33"/>
      <c r="F711" s="33"/>
      <c r="G711" s="33"/>
      <c r="H711" s="33"/>
      <c r="I711" s="33"/>
      <c r="J711" s="36"/>
      <c r="K711" s="374" t="s">
        <v>293</v>
      </c>
      <c r="L711" s="375" t="s">
        <v>291</v>
      </c>
      <c r="M711" s="362" t="s">
        <v>1335</v>
      </c>
      <c r="N711" s="36" t="s">
        <v>573</v>
      </c>
      <c r="O711" s="36" t="s">
        <v>573</v>
      </c>
      <c r="P711" s="50"/>
      <c r="Q711" s="36" t="s">
        <v>573</v>
      </c>
      <c r="R711" s="36"/>
      <c r="S711" s="36" t="s">
        <v>573</v>
      </c>
      <c r="T711" s="36"/>
      <c r="U711" s="36" t="s">
        <v>573</v>
      </c>
      <c r="V711" s="36"/>
      <c r="W711" s="36" t="s">
        <v>573</v>
      </c>
      <c r="X711" s="36"/>
      <c r="Y711" s="36" t="s">
        <v>573</v>
      </c>
      <c r="Z711" s="37"/>
      <c r="AA711" s="52"/>
      <c r="AB711" s="50">
        <v>1169990</v>
      </c>
      <c r="AC711" s="50">
        <f>AB711</f>
        <v>1169990</v>
      </c>
      <c r="AD711" s="51" t="s">
        <v>66</v>
      </c>
      <c r="AE711" s="52" t="s">
        <v>81</v>
      </c>
      <c r="AF711" s="36"/>
    </row>
    <row r="712" spans="2:32" ht="42.75" x14ac:dyDescent="0.3">
      <c r="B712" s="36"/>
      <c r="C712" s="36"/>
      <c r="E712" s="33"/>
      <c r="F712" s="33"/>
      <c r="G712" s="33"/>
      <c r="H712" s="33"/>
      <c r="I712" s="33"/>
      <c r="J712" s="36"/>
      <c r="K712" s="374" t="s">
        <v>294</v>
      </c>
      <c r="L712" s="375" t="s">
        <v>291</v>
      </c>
      <c r="M712" s="362" t="s">
        <v>1501</v>
      </c>
      <c r="N712" s="41">
        <v>1</v>
      </c>
      <c r="O712" s="41">
        <v>1</v>
      </c>
      <c r="P712" s="50"/>
      <c r="Q712" s="41">
        <v>1</v>
      </c>
      <c r="R712" s="36"/>
      <c r="S712" s="41">
        <v>1</v>
      </c>
      <c r="T712" s="36"/>
      <c r="U712" s="41">
        <v>1</v>
      </c>
      <c r="V712" s="36"/>
      <c r="W712" s="41">
        <v>1</v>
      </c>
      <c r="X712" s="36"/>
      <c r="Y712" s="41">
        <v>1</v>
      </c>
      <c r="Z712" s="37"/>
      <c r="AA712" s="52"/>
      <c r="AB712" s="50"/>
      <c r="AC712" s="50"/>
      <c r="AD712" s="51"/>
      <c r="AE712" s="52"/>
      <c r="AF712" s="36"/>
    </row>
    <row r="713" spans="2:32" x14ac:dyDescent="0.3">
      <c r="B713" s="36"/>
      <c r="C713" s="36"/>
      <c r="E713" s="33"/>
      <c r="F713" s="33"/>
      <c r="G713" s="33"/>
      <c r="H713" s="33"/>
      <c r="I713" s="33"/>
      <c r="J713" s="36"/>
      <c r="K713" s="374" t="s">
        <v>295</v>
      </c>
      <c r="L713" s="375" t="s">
        <v>291</v>
      </c>
      <c r="M713" s="362" t="s">
        <v>1496</v>
      </c>
      <c r="N713" s="36"/>
      <c r="O713" s="36"/>
      <c r="P713" s="50"/>
      <c r="Q713" s="36"/>
      <c r="R713" s="36"/>
      <c r="S713" s="36"/>
      <c r="T713" s="36"/>
      <c r="U713" s="36"/>
      <c r="V713" s="36"/>
      <c r="W713" s="36"/>
      <c r="X713" s="36"/>
      <c r="Y713" s="36"/>
      <c r="Z713" s="37"/>
      <c r="AA713" s="52"/>
      <c r="AB713" s="50"/>
      <c r="AC713" s="50"/>
      <c r="AD713" s="51"/>
      <c r="AE713" s="52"/>
      <c r="AF713" s="36"/>
    </row>
    <row r="714" spans="2:32" x14ac:dyDescent="0.3">
      <c r="B714" s="92"/>
      <c r="C714" s="92"/>
      <c r="D714" s="445"/>
      <c r="E714" s="91"/>
      <c r="F714" s="91"/>
      <c r="G714" s="91"/>
      <c r="H714" s="91"/>
      <c r="I714" s="91"/>
      <c r="J714" s="92"/>
      <c r="K714" s="377" t="s">
        <v>297</v>
      </c>
      <c r="L714" s="378" t="s">
        <v>291</v>
      </c>
      <c r="M714" s="386" t="s">
        <v>1497</v>
      </c>
      <c r="N714" s="92"/>
      <c r="O714" s="92"/>
      <c r="P714" s="93"/>
      <c r="Q714" s="92"/>
      <c r="R714" s="92"/>
      <c r="S714" s="92"/>
      <c r="T714" s="92"/>
      <c r="U714" s="92"/>
      <c r="V714" s="92"/>
      <c r="W714" s="92"/>
      <c r="X714" s="92"/>
      <c r="Y714" s="92"/>
      <c r="Z714" s="101"/>
      <c r="AA714" s="95"/>
      <c r="AB714" s="93"/>
      <c r="AC714" s="93"/>
      <c r="AD714" s="94"/>
      <c r="AE714" s="95"/>
      <c r="AF714" s="92"/>
    </row>
    <row r="715" spans="2:32" x14ac:dyDescent="0.3">
      <c r="B715" s="36"/>
      <c r="C715" s="36"/>
      <c r="E715" s="33"/>
      <c r="F715" s="33"/>
      <c r="G715" s="33"/>
      <c r="H715" s="33"/>
      <c r="I715" s="33"/>
      <c r="J715" s="36"/>
      <c r="K715" s="374"/>
      <c r="L715" s="375"/>
      <c r="M715" s="362"/>
      <c r="N715" s="36"/>
      <c r="O715" s="36"/>
      <c r="P715" s="50"/>
      <c r="Q715" s="36"/>
      <c r="R715" s="36"/>
      <c r="S715" s="36"/>
      <c r="T715" s="36"/>
      <c r="U715" s="36"/>
      <c r="V715" s="36"/>
      <c r="W715" s="36"/>
      <c r="X715" s="36"/>
      <c r="Y715" s="36"/>
      <c r="Z715" s="37"/>
      <c r="AA715" s="52"/>
      <c r="AB715" s="50"/>
      <c r="AC715" s="50"/>
      <c r="AD715" s="51"/>
      <c r="AE715" s="52"/>
      <c r="AF715" s="36"/>
    </row>
    <row r="716" spans="2:32" ht="28.5" x14ac:dyDescent="0.3">
      <c r="B716" s="36"/>
      <c r="C716" s="36"/>
      <c r="E716" s="33">
        <v>1</v>
      </c>
      <c r="F716" s="70" t="s">
        <v>131</v>
      </c>
      <c r="G716" s="70" t="s">
        <v>131</v>
      </c>
      <c r="H716" s="33">
        <v>20</v>
      </c>
      <c r="I716" s="34">
        <v>9</v>
      </c>
      <c r="J716" s="36" t="s">
        <v>208</v>
      </c>
      <c r="K716" s="374" t="s">
        <v>290</v>
      </c>
      <c r="L716" s="375" t="s">
        <v>291</v>
      </c>
      <c r="M716" s="375" t="s">
        <v>292</v>
      </c>
      <c r="N716" s="36" t="s">
        <v>301</v>
      </c>
      <c r="O716" s="36" t="s">
        <v>301</v>
      </c>
      <c r="P716" s="50">
        <v>43887500</v>
      </c>
      <c r="Q716" s="36" t="s">
        <v>301</v>
      </c>
      <c r="R716" s="431">
        <f>P716+(P716*10%)</f>
        <v>48276250</v>
      </c>
      <c r="S716" s="36" t="s">
        <v>301</v>
      </c>
      <c r="T716" s="431">
        <f>R716+(R716*10%)</f>
        <v>53103875</v>
      </c>
      <c r="U716" s="36" t="s">
        <v>301</v>
      </c>
      <c r="V716" s="431">
        <f>T716+(T716*10%)</f>
        <v>58414262.5</v>
      </c>
      <c r="W716" s="36" t="s">
        <v>301</v>
      </c>
      <c r="X716" s="431">
        <f>V716+(V716*10%)</f>
        <v>64255688.75</v>
      </c>
      <c r="Y716" s="36" t="s">
        <v>301</v>
      </c>
      <c r="Z716" s="431">
        <f>X716+V716+T716+R716+P716</f>
        <v>267937576.25</v>
      </c>
      <c r="AA716" s="52" t="str">
        <f>AA710</f>
        <v>Dinas Dikpora</v>
      </c>
      <c r="AB716" s="50">
        <v>115200</v>
      </c>
      <c r="AC716" s="50">
        <f>AB716</f>
        <v>115200</v>
      </c>
      <c r="AD716" s="51" t="s">
        <v>66</v>
      </c>
      <c r="AE716" s="52" t="s">
        <v>81</v>
      </c>
      <c r="AF716" s="36" t="s">
        <v>75</v>
      </c>
    </row>
    <row r="717" spans="2:32" x14ac:dyDescent="0.3">
      <c r="B717" s="36"/>
      <c r="C717" s="36"/>
      <c r="E717" s="33"/>
      <c r="F717" s="70"/>
      <c r="G717" s="70"/>
      <c r="H717" s="33"/>
      <c r="I717" s="70"/>
      <c r="J717" s="36"/>
      <c r="K717" s="374" t="s">
        <v>293</v>
      </c>
      <c r="L717" s="375" t="s">
        <v>291</v>
      </c>
      <c r="M717" s="362" t="s">
        <v>1336</v>
      </c>
      <c r="N717" s="36" t="s">
        <v>360</v>
      </c>
      <c r="O717" s="36" t="s">
        <v>360</v>
      </c>
      <c r="P717" s="50"/>
      <c r="Q717" s="36" t="s">
        <v>360</v>
      </c>
      <c r="R717" s="36"/>
      <c r="S717" s="36" t="s">
        <v>360</v>
      </c>
      <c r="T717" s="36"/>
      <c r="U717" s="36" t="s">
        <v>360</v>
      </c>
      <c r="V717" s="36"/>
      <c r="W717" s="36" t="s">
        <v>360</v>
      </c>
      <c r="X717" s="36"/>
      <c r="Y717" s="36" t="s">
        <v>360</v>
      </c>
      <c r="Z717" s="37"/>
      <c r="AA717" s="52"/>
      <c r="AB717" s="50"/>
      <c r="AC717" s="50"/>
      <c r="AD717" s="51"/>
      <c r="AE717" s="52"/>
      <c r="AF717" s="36"/>
    </row>
    <row r="718" spans="2:32" ht="42.75" x14ac:dyDescent="0.3">
      <c r="B718" s="36"/>
      <c r="C718" s="36"/>
      <c r="E718" s="33"/>
      <c r="F718" s="70"/>
      <c r="G718" s="70"/>
      <c r="H718" s="33"/>
      <c r="I718" s="70"/>
      <c r="J718" s="36"/>
      <c r="K718" s="374" t="s">
        <v>294</v>
      </c>
      <c r="L718" s="375" t="s">
        <v>291</v>
      </c>
      <c r="M718" s="362" t="s">
        <v>1502</v>
      </c>
      <c r="N718" s="41">
        <v>1</v>
      </c>
      <c r="O718" s="41">
        <v>1</v>
      </c>
      <c r="P718" s="50"/>
      <c r="Q718" s="41">
        <v>1</v>
      </c>
      <c r="R718" s="36"/>
      <c r="S718" s="41">
        <v>1</v>
      </c>
      <c r="T718" s="36"/>
      <c r="U718" s="41">
        <v>1</v>
      </c>
      <c r="V718" s="36"/>
      <c r="W718" s="41">
        <v>1</v>
      </c>
      <c r="X718" s="36"/>
      <c r="Y718" s="41">
        <v>1</v>
      </c>
      <c r="Z718" s="37"/>
      <c r="AA718" s="52"/>
      <c r="AB718" s="50"/>
      <c r="AC718" s="50"/>
      <c r="AD718" s="51"/>
      <c r="AE718" s="52"/>
      <c r="AF718" s="36"/>
    </row>
    <row r="719" spans="2:32" x14ac:dyDescent="0.3">
      <c r="B719" s="36"/>
      <c r="C719" s="36"/>
      <c r="E719" s="33"/>
      <c r="F719" s="70"/>
      <c r="G719" s="70"/>
      <c r="H719" s="33"/>
      <c r="I719" s="70"/>
      <c r="J719" s="36"/>
      <c r="K719" s="374" t="s">
        <v>295</v>
      </c>
      <c r="L719" s="375" t="s">
        <v>291</v>
      </c>
      <c r="M719" s="362" t="s">
        <v>1496</v>
      </c>
      <c r="N719" s="36"/>
      <c r="O719" s="36"/>
      <c r="P719" s="50"/>
      <c r="Q719" s="36"/>
      <c r="R719" s="36"/>
      <c r="S719" s="36"/>
      <c r="T719" s="36"/>
      <c r="U719" s="36"/>
      <c r="V719" s="36"/>
      <c r="W719" s="36"/>
      <c r="X719" s="36"/>
      <c r="Y719" s="36"/>
      <c r="Z719" s="37"/>
      <c r="AA719" s="52"/>
      <c r="AB719" s="50"/>
      <c r="AC719" s="50"/>
      <c r="AD719" s="51"/>
      <c r="AE719" s="52"/>
      <c r="AF719" s="36"/>
    </row>
    <row r="720" spans="2:32" x14ac:dyDescent="0.3">
      <c r="B720" s="92"/>
      <c r="C720" s="92"/>
      <c r="D720" s="445"/>
      <c r="E720" s="91"/>
      <c r="F720" s="409"/>
      <c r="G720" s="409"/>
      <c r="H720" s="91"/>
      <c r="I720" s="409"/>
      <c r="J720" s="92"/>
      <c r="K720" s="377" t="s">
        <v>297</v>
      </c>
      <c r="L720" s="378" t="s">
        <v>291</v>
      </c>
      <c r="M720" s="386" t="s">
        <v>1497</v>
      </c>
      <c r="N720" s="92"/>
      <c r="O720" s="92"/>
      <c r="P720" s="93"/>
      <c r="Q720" s="92"/>
      <c r="R720" s="92"/>
      <c r="S720" s="92"/>
      <c r="T720" s="92"/>
      <c r="U720" s="92"/>
      <c r="V720" s="92"/>
      <c r="W720" s="92"/>
      <c r="X720" s="92"/>
      <c r="Y720" s="92"/>
      <c r="Z720" s="101"/>
      <c r="AA720" s="95"/>
      <c r="AB720" s="93"/>
      <c r="AC720" s="93"/>
      <c r="AD720" s="94"/>
      <c r="AE720" s="95"/>
      <c r="AF720" s="92"/>
    </row>
    <row r="721" spans="2:32" x14ac:dyDescent="0.3">
      <c r="B721" s="36"/>
      <c r="C721" s="36"/>
      <c r="E721" s="33"/>
      <c r="F721" s="70"/>
      <c r="G721" s="70"/>
      <c r="H721" s="33"/>
      <c r="I721" s="70"/>
      <c r="J721" s="36"/>
      <c r="K721" s="374"/>
      <c r="L721" s="375"/>
      <c r="M721" s="362"/>
      <c r="N721" s="36"/>
      <c r="O721" s="36"/>
      <c r="P721" s="50"/>
      <c r="Q721" s="36"/>
      <c r="R721" s="36"/>
      <c r="S721" s="36"/>
      <c r="T721" s="36"/>
      <c r="U721" s="36"/>
      <c r="V721" s="36"/>
      <c r="W721" s="36"/>
      <c r="X721" s="36"/>
      <c r="Y721" s="36"/>
      <c r="Z721" s="37"/>
      <c r="AA721" s="52"/>
      <c r="AB721" s="50"/>
      <c r="AC721" s="50"/>
      <c r="AD721" s="51"/>
      <c r="AE721" s="52"/>
      <c r="AF721" s="36"/>
    </row>
    <row r="722" spans="2:32" ht="28.5" x14ac:dyDescent="0.3">
      <c r="B722" s="36"/>
      <c r="C722" s="36"/>
      <c r="E722" s="33">
        <v>1</v>
      </c>
      <c r="F722" s="70" t="s">
        <v>131</v>
      </c>
      <c r="G722" s="70" t="s">
        <v>131</v>
      </c>
      <c r="H722" s="33">
        <v>20</v>
      </c>
      <c r="I722" s="70">
        <v>11</v>
      </c>
      <c r="J722" s="36" t="s">
        <v>209</v>
      </c>
      <c r="K722" s="374" t="s">
        <v>290</v>
      </c>
      <c r="L722" s="375" t="s">
        <v>291</v>
      </c>
      <c r="M722" s="375" t="s">
        <v>292</v>
      </c>
      <c r="N722" s="36" t="s">
        <v>301</v>
      </c>
      <c r="O722" s="36" t="s">
        <v>301</v>
      </c>
      <c r="P722" s="50">
        <v>33920000</v>
      </c>
      <c r="Q722" s="36" t="s">
        <v>301</v>
      </c>
      <c r="R722" s="431">
        <f>P722+(P722*10%)</f>
        <v>37312000</v>
      </c>
      <c r="S722" s="36" t="s">
        <v>301</v>
      </c>
      <c r="T722" s="431">
        <f>R722+(R722*10%)</f>
        <v>41043200</v>
      </c>
      <c r="U722" s="36" t="s">
        <v>301</v>
      </c>
      <c r="V722" s="431">
        <f>T722+(T722*10%)</f>
        <v>45147520</v>
      </c>
      <c r="W722" s="36" t="s">
        <v>301</v>
      </c>
      <c r="X722" s="431">
        <f>V722+(V722*10%)</f>
        <v>49662272</v>
      </c>
      <c r="Y722" s="36" t="s">
        <v>301</v>
      </c>
      <c r="Z722" s="431">
        <f>X722+V722+T722+R722+P722</f>
        <v>207084992</v>
      </c>
      <c r="AA722" s="52" t="s">
        <v>66</v>
      </c>
      <c r="AB722" s="50">
        <v>250000</v>
      </c>
      <c r="AC722" s="50">
        <v>450000</v>
      </c>
      <c r="AD722" s="51" t="s">
        <v>66</v>
      </c>
      <c r="AE722" s="52" t="s">
        <v>81</v>
      </c>
      <c r="AF722" s="36" t="s">
        <v>66</v>
      </c>
    </row>
    <row r="723" spans="2:32" ht="42.75" x14ac:dyDescent="0.3">
      <c r="B723" s="36"/>
      <c r="C723" s="36"/>
      <c r="E723" s="33"/>
      <c r="F723" s="33"/>
      <c r="G723" s="33"/>
      <c r="H723" s="33"/>
      <c r="I723" s="33"/>
      <c r="J723" s="36"/>
      <c r="K723" s="374" t="s">
        <v>293</v>
      </c>
      <c r="L723" s="375" t="s">
        <v>291</v>
      </c>
      <c r="M723" s="362" t="s">
        <v>1337</v>
      </c>
      <c r="N723" s="36" t="s">
        <v>573</v>
      </c>
      <c r="O723" s="36" t="s">
        <v>573</v>
      </c>
      <c r="P723" s="50"/>
      <c r="Q723" s="36" t="s">
        <v>573</v>
      </c>
      <c r="R723" s="27"/>
      <c r="S723" s="36" t="s">
        <v>573</v>
      </c>
      <c r="T723" s="27"/>
      <c r="U723" s="36" t="s">
        <v>573</v>
      </c>
      <c r="V723" s="27"/>
      <c r="W723" s="36" t="s">
        <v>573</v>
      </c>
      <c r="X723" s="27"/>
      <c r="Y723" s="36" t="s">
        <v>573</v>
      </c>
      <c r="Z723" s="35"/>
      <c r="AA723" s="52"/>
      <c r="AB723" s="79"/>
      <c r="AC723" s="50"/>
      <c r="AD723" s="51"/>
      <c r="AE723" s="52"/>
      <c r="AF723" s="36"/>
    </row>
    <row r="724" spans="2:32" ht="28.5" x14ac:dyDescent="0.3">
      <c r="B724" s="36"/>
      <c r="C724" s="36"/>
      <c r="E724" s="33"/>
      <c r="F724" s="33"/>
      <c r="G724" s="33"/>
      <c r="H724" s="33"/>
      <c r="I724" s="33"/>
      <c r="J724" s="36"/>
      <c r="K724" s="374" t="s">
        <v>294</v>
      </c>
      <c r="L724" s="375" t="s">
        <v>291</v>
      </c>
      <c r="M724" s="362" t="s">
        <v>1503</v>
      </c>
      <c r="N724" s="41">
        <v>1</v>
      </c>
      <c r="O724" s="41">
        <v>1</v>
      </c>
      <c r="P724" s="50"/>
      <c r="Q724" s="41">
        <v>1</v>
      </c>
      <c r="R724" s="27"/>
      <c r="S724" s="41">
        <v>1</v>
      </c>
      <c r="T724" s="27"/>
      <c r="U724" s="41">
        <v>1</v>
      </c>
      <c r="V724" s="27"/>
      <c r="W724" s="41">
        <v>1</v>
      </c>
      <c r="X724" s="27"/>
      <c r="Y724" s="41">
        <v>1</v>
      </c>
      <c r="Z724" s="35"/>
      <c r="AA724" s="52"/>
      <c r="AB724" s="79"/>
      <c r="AC724" s="50"/>
      <c r="AD724" s="51"/>
      <c r="AE724" s="52"/>
      <c r="AF724" s="36"/>
    </row>
    <row r="725" spans="2:32" x14ac:dyDescent="0.3">
      <c r="B725" s="36"/>
      <c r="C725" s="36"/>
      <c r="E725" s="33"/>
      <c r="F725" s="33"/>
      <c r="G725" s="33"/>
      <c r="H725" s="33"/>
      <c r="I725" s="33"/>
      <c r="J725" s="36"/>
      <c r="K725" s="374" t="s">
        <v>295</v>
      </c>
      <c r="L725" s="375" t="s">
        <v>291</v>
      </c>
      <c r="M725" s="362" t="s">
        <v>1496</v>
      </c>
      <c r="N725" s="36"/>
      <c r="O725" s="36"/>
      <c r="P725" s="50"/>
      <c r="Q725" s="36"/>
      <c r="R725" s="27"/>
      <c r="S725" s="36"/>
      <c r="T725" s="27"/>
      <c r="U725" s="36"/>
      <c r="V725" s="27"/>
      <c r="W725" s="36"/>
      <c r="X725" s="27"/>
      <c r="Y725" s="36"/>
      <c r="Z725" s="35"/>
      <c r="AA725" s="52"/>
      <c r="AB725" s="79"/>
      <c r="AC725" s="50"/>
      <c r="AD725" s="51"/>
      <c r="AE725" s="52"/>
      <c r="AF725" s="36"/>
    </row>
    <row r="726" spans="2:32" x14ac:dyDescent="0.3">
      <c r="B726" s="92"/>
      <c r="C726" s="92"/>
      <c r="D726" s="445"/>
      <c r="E726" s="91"/>
      <c r="F726" s="91"/>
      <c r="G726" s="91"/>
      <c r="H726" s="91"/>
      <c r="I726" s="91"/>
      <c r="J726" s="92"/>
      <c r="K726" s="377" t="s">
        <v>297</v>
      </c>
      <c r="L726" s="378" t="s">
        <v>291</v>
      </c>
      <c r="M726" s="386" t="s">
        <v>1497</v>
      </c>
      <c r="N726" s="92"/>
      <c r="O726" s="92"/>
      <c r="P726" s="93"/>
      <c r="Q726" s="92"/>
      <c r="R726" s="393"/>
      <c r="S726" s="92"/>
      <c r="T726" s="393"/>
      <c r="U726" s="92"/>
      <c r="V726" s="393"/>
      <c r="W726" s="92"/>
      <c r="X726" s="393"/>
      <c r="Y726" s="92"/>
      <c r="Z726" s="418"/>
      <c r="AA726" s="95"/>
      <c r="AB726" s="412"/>
      <c r="AC726" s="93"/>
      <c r="AD726" s="94"/>
      <c r="AE726" s="95"/>
      <c r="AF726" s="92"/>
    </row>
    <row r="727" spans="2:32" x14ac:dyDescent="0.3">
      <c r="B727" s="36"/>
      <c r="C727" s="36"/>
      <c r="E727" s="33"/>
      <c r="F727" s="33"/>
      <c r="G727" s="33"/>
      <c r="H727" s="33"/>
      <c r="I727" s="33"/>
      <c r="J727" s="36"/>
      <c r="K727" s="37"/>
      <c r="L727" s="46"/>
      <c r="M727" s="362"/>
      <c r="N727" s="36"/>
      <c r="O727" s="36"/>
      <c r="P727" s="50"/>
      <c r="Q727" s="36"/>
      <c r="R727" s="27"/>
      <c r="S727" s="36"/>
      <c r="T727" s="27"/>
      <c r="U727" s="36"/>
      <c r="V727" s="27"/>
      <c r="W727" s="36"/>
      <c r="X727" s="27"/>
      <c r="Y727" s="36"/>
      <c r="Z727" s="35"/>
      <c r="AA727" s="52"/>
      <c r="AB727" s="79"/>
      <c r="AC727" s="50"/>
      <c r="AD727" s="51"/>
      <c r="AE727" s="52"/>
      <c r="AF727" s="36"/>
    </row>
    <row r="728" spans="2:32" ht="28.5" x14ac:dyDescent="0.3">
      <c r="B728" s="36"/>
      <c r="C728" s="36"/>
      <c r="E728" s="26"/>
      <c r="F728" s="26"/>
      <c r="G728" s="26"/>
      <c r="H728" s="26"/>
      <c r="I728" s="26"/>
      <c r="J728" s="27" t="s">
        <v>60</v>
      </c>
      <c r="K728" s="35"/>
      <c r="L728" s="39"/>
      <c r="M728" s="362"/>
      <c r="N728" s="36"/>
      <c r="O728" s="36"/>
      <c r="P728" s="82"/>
      <c r="Q728" s="36"/>
      <c r="R728" s="36"/>
      <c r="S728" s="36"/>
      <c r="T728" s="36"/>
      <c r="U728" s="36"/>
      <c r="V728" s="36"/>
      <c r="W728" s="36"/>
      <c r="X728" s="36"/>
      <c r="Y728" s="36"/>
      <c r="Z728" s="37"/>
      <c r="AA728" s="75"/>
      <c r="AB728" s="50">
        <v>50000</v>
      </c>
      <c r="AC728" s="50">
        <v>100000</v>
      </c>
      <c r="AD728" s="51" t="s">
        <v>84</v>
      </c>
      <c r="AE728" s="52" t="s">
        <v>67</v>
      </c>
      <c r="AF728" s="27"/>
    </row>
    <row r="729" spans="2:32" s="87" customFormat="1" ht="27" x14ac:dyDescent="0.25">
      <c r="B729" s="504" t="s">
        <v>1560</v>
      </c>
      <c r="C729" s="504" t="s">
        <v>1562</v>
      </c>
      <c r="D729" s="434"/>
      <c r="E729" s="26">
        <v>1</v>
      </c>
      <c r="F729" s="69" t="s">
        <v>131</v>
      </c>
      <c r="G729" s="69" t="s">
        <v>131</v>
      </c>
      <c r="H729" s="26">
        <v>21</v>
      </c>
      <c r="I729" s="26"/>
      <c r="J729" s="27" t="s">
        <v>210</v>
      </c>
      <c r="K729" s="496" t="s">
        <v>1338</v>
      </c>
      <c r="L729" s="497"/>
      <c r="M729" s="498"/>
      <c r="N729" s="372">
        <v>1</v>
      </c>
      <c r="O729" s="372">
        <v>1</v>
      </c>
      <c r="P729" s="82">
        <f>SUM(P732:P747)</f>
        <v>178460000</v>
      </c>
      <c r="Q729" s="372">
        <v>1</v>
      </c>
      <c r="R729" s="82">
        <f>SUM(R732:R747)</f>
        <v>196306000</v>
      </c>
      <c r="S729" s="372">
        <v>1</v>
      </c>
      <c r="T729" s="82">
        <f>SUM(T732:T747)</f>
        <v>215936600</v>
      </c>
      <c r="U729" s="372">
        <v>1</v>
      </c>
      <c r="V729" s="82">
        <f>SUM(V732:V747)</f>
        <v>237530260</v>
      </c>
      <c r="W729" s="372">
        <v>1</v>
      </c>
      <c r="X729" s="82">
        <f>SUM(X732:X747)</f>
        <v>261283286</v>
      </c>
      <c r="Y729" s="372">
        <v>1</v>
      </c>
      <c r="Z729" s="430">
        <f>X729+V729+T729+R729+P729</f>
        <v>1089516146</v>
      </c>
      <c r="AA729" s="75"/>
      <c r="AB729" s="82">
        <v>50000</v>
      </c>
      <c r="AC729" s="82">
        <v>100000</v>
      </c>
      <c r="AD729" s="83" t="s">
        <v>84</v>
      </c>
      <c r="AE729" s="75" t="s">
        <v>67</v>
      </c>
      <c r="AF729" s="27" t="s">
        <v>75</v>
      </c>
    </row>
    <row r="730" spans="2:32" x14ac:dyDescent="0.3">
      <c r="B730" s="504"/>
      <c r="C730" s="504"/>
      <c r="E730" s="33"/>
      <c r="F730" s="33"/>
      <c r="G730" s="33"/>
      <c r="H730" s="33"/>
      <c r="I730" s="33"/>
      <c r="J730" s="36"/>
      <c r="K730" s="37"/>
      <c r="L730" s="46"/>
      <c r="M730" s="362"/>
      <c r="N730" s="41"/>
      <c r="O730" s="41"/>
      <c r="P730" s="50"/>
      <c r="Q730" s="41"/>
      <c r="R730" s="36"/>
      <c r="S730" s="41"/>
      <c r="T730" s="36"/>
      <c r="U730" s="41"/>
      <c r="V730" s="36"/>
      <c r="W730" s="41"/>
      <c r="X730" s="36"/>
      <c r="Y730" s="41"/>
      <c r="Z730" s="37"/>
      <c r="AA730" s="52"/>
      <c r="AB730" s="50"/>
      <c r="AC730" s="50"/>
      <c r="AD730" s="51"/>
      <c r="AE730" s="52"/>
      <c r="AF730" s="36"/>
    </row>
    <row r="731" spans="2:32" ht="28.5" x14ac:dyDescent="0.3">
      <c r="B731" s="504"/>
      <c r="C731" s="504"/>
      <c r="E731" s="33"/>
      <c r="F731" s="33"/>
      <c r="G731" s="33"/>
      <c r="H731" s="33"/>
      <c r="I731" s="26"/>
      <c r="J731" s="27" t="s">
        <v>63</v>
      </c>
      <c r="K731" s="35"/>
      <c r="L731" s="39"/>
      <c r="M731" s="362"/>
      <c r="N731" s="36"/>
      <c r="O731" s="36"/>
      <c r="P731" s="82"/>
      <c r="Q731" s="36"/>
      <c r="R731" s="36"/>
      <c r="S731" s="36"/>
      <c r="T731" s="36"/>
      <c r="U731" s="36"/>
      <c r="V731" s="36"/>
      <c r="W731" s="36"/>
      <c r="X731" s="36"/>
      <c r="Y731" s="36"/>
      <c r="Z731" s="37"/>
      <c r="AA731" s="75"/>
      <c r="AB731" s="50">
        <v>405000</v>
      </c>
      <c r="AC731" s="50">
        <v>405000</v>
      </c>
      <c r="AD731" s="51" t="s">
        <v>84</v>
      </c>
      <c r="AE731" s="52" t="s">
        <v>67</v>
      </c>
      <c r="AF731" s="27"/>
    </row>
    <row r="732" spans="2:32" ht="28.5" x14ac:dyDescent="0.3">
      <c r="B732" s="504"/>
      <c r="C732" s="504"/>
      <c r="E732" s="33">
        <v>1</v>
      </c>
      <c r="F732" s="70" t="s">
        <v>131</v>
      </c>
      <c r="G732" s="70" t="s">
        <v>131</v>
      </c>
      <c r="H732" s="33">
        <v>21</v>
      </c>
      <c r="I732" s="34">
        <v>4</v>
      </c>
      <c r="J732" s="36" t="s">
        <v>1076</v>
      </c>
      <c r="K732" s="374" t="s">
        <v>290</v>
      </c>
      <c r="L732" s="375" t="s">
        <v>291</v>
      </c>
      <c r="M732" s="375" t="s">
        <v>292</v>
      </c>
      <c r="N732" s="36" t="s">
        <v>301</v>
      </c>
      <c r="O732" s="36" t="s">
        <v>301</v>
      </c>
      <c r="P732" s="50">
        <v>46485000</v>
      </c>
      <c r="Q732" s="36" t="s">
        <v>301</v>
      </c>
      <c r="R732" s="431">
        <f>P732+(P732*10%)</f>
        <v>51133500</v>
      </c>
      <c r="S732" s="36" t="s">
        <v>301</v>
      </c>
      <c r="T732" s="431">
        <f>R732+(R732*10%)</f>
        <v>56246850</v>
      </c>
      <c r="U732" s="36" t="s">
        <v>301</v>
      </c>
      <c r="V732" s="431">
        <f>T732+(T732*10%)</f>
        <v>61871535</v>
      </c>
      <c r="W732" s="36" t="s">
        <v>301</v>
      </c>
      <c r="X732" s="431">
        <f>V732+(V732*10%)</f>
        <v>68058688.5</v>
      </c>
      <c r="Y732" s="36" t="s">
        <v>301</v>
      </c>
      <c r="Z732" s="431">
        <f>X732+V732+T732+R732+P732</f>
        <v>283795573.5</v>
      </c>
      <c r="AA732" s="52" t="s">
        <v>66</v>
      </c>
      <c r="AB732" s="50">
        <v>62500</v>
      </c>
      <c r="AC732" s="50">
        <v>62500</v>
      </c>
      <c r="AD732" s="51" t="s">
        <v>66</v>
      </c>
      <c r="AE732" s="52" t="s">
        <v>81</v>
      </c>
      <c r="AF732" s="36" t="s">
        <v>75</v>
      </c>
    </row>
    <row r="733" spans="2:32" ht="42.75" x14ac:dyDescent="0.3">
      <c r="B733" s="504"/>
      <c r="C733" s="504"/>
      <c r="E733" s="33"/>
      <c r="F733" s="33"/>
      <c r="G733" s="33"/>
      <c r="H733" s="33"/>
      <c r="I733" s="33"/>
      <c r="J733" s="36"/>
      <c r="K733" s="374" t="s">
        <v>293</v>
      </c>
      <c r="L733" s="375" t="s">
        <v>291</v>
      </c>
      <c r="M733" s="362" t="s">
        <v>1339</v>
      </c>
      <c r="N733" s="36" t="s">
        <v>1173</v>
      </c>
      <c r="O733" s="36" t="s">
        <v>1173</v>
      </c>
      <c r="P733" s="50"/>
      <c r="Q733" s="36" t="s">
        <v>1173</v>
      </c>
      <c r="R733" s="36"/>
      <c r="S733" s="36" t="s">
        <v>1173</v>
      </c>
      <c r="T733" s="36"/>
      <c r="U733" s="36" t="s">
        <v>1173</v>
      </c>
      <c r="V733" s="36"/>
      <c r="W733" s="36" t="s">
        <v>1173</v>
      </c>
      <c r="X733" s="36"/>
      <c r="Y733" s="36" t="s">
        <v>1173</v>
      </c>
      <c r="Z733" s="37"/>
      <c r="AA733" s="52" t="s">
        <v>84</v>
      </c>
      <c r="AB733" s="50">
        <v>772920</v>
      </c>
      <c r="AC733" s="50">
        <v>2354220</v>
      </c>
      <c r="AD733" s="51" t="s">
        <v>84</v>
      </c>
      <c r="AE733" s="52" t="s">
        <v>67</v>
      </c>
      <c r="AF733" s="36"/>
    </row>
    <row r="734" spans="2:32" ht="28.5" x14ac:dyDescent="0.3">
      <c r="B734" s="504"/>
      <c r="C734" s="36"/>
      <c r="E734" s="33"/>
      <c r="F734" s="33"/>
      <c r="G734" s="33"/>
      <c r="H734" s="33"/>
      <c r="I734" s="33"/>
      <c r="J734" s="36"/>
      <c r="K734" s="37"/>
      <c r="L734" s="375" t="s">
        <v>291</v>
      </c>
      <c r="M734" s="362" t="s">
        <v>1340</v>
      </c>
      <c r="N734" s="36" t="s">
        <v>874</v>
      </c>
      <c r="O734" s="36" t="s">
        <v>874</v>
      </c>
      <c r="P734" s="50"/>
      <c r="Q734" s="36" t="s">
        <v>874</v>
      </c>
      <c r="R734" s="36"/>
      <c r="S734" s="36" t="s">
        <v>874</v>
      </c>
      <c r="T734" s="36"/>
      <c r="U734" s="36" t="s">
        <v>874</v>
      </c>
      <c r="V734" s="36"/>
      <c r="W734" s="36" t="s">
        <v>874</v>
      </c>
      <c r="X734" s="36"/>
      <c r="Y734" s="36" t="s">
        <v>874</v>
      </c>
      <c r="Z734" s="37"/>
      <c r="AA734" s="52" t="s">
        <v>84</v>
      </c>
      <c r="AB734" s="50">
        <v>1460640</v>
      </c>
      <c r="AC734" s="50">
        <v>4827320</v>
      </c>
      <c r="AD734" s="51" t="s">
        <v>84</v>
      </c>
      <c r="AE734" s="52" t="s">
        <v>67</v>
      </c>
      <c r="AF734" s="36"/>
    </row>
    <row r="735" spans="2:32" ht="114" x14ac:dyDescent="0.3">
      <c r="B735" s="504"/>
      <c r="C735" s="36"/>
      <c r="E735" s="33"/>
      <c r="F735" s="33"/>
      <c r="G735" s="33"/>
      <c r="H735" s="33"/>
      <c r="I735" s="33"/>
      <c r="J735" s="36"/>
      <c r="K735" s="37"/>
      <c r="L735" s="375" t="s">
        <v>291</v>
      </c>
      <c r="M735" s="362" t="s">
        <v>1341</v>
      </c>
      <c r="N735" s="36" t="s">
        <v>1174</v>
      </c>
      <c r="O735" s="36" t="s">
        <v>1174</v>
      </c>
      <c r="P735" s="50"/>
      <c r="Q735" s="36" t="s">
        <v>1174</v>
      </c>
      <c r="R735" s="36"/>
      <c r="S735" s="36" t="s">
        <v>1174</v>
      </c>
      <c r="T735" s="36"/>
      <c r="U735" s="36" t="s">
        <v>1174</v>
      </c>
      <c r="V735" s="36"/>
      <c r="W735" s="36" t="s">
        <v>1174</v>
      </c>
      <c r="X735" s="36"/>
      <c r="Y735" s="36" t="s">
        <v>1174</v>
      </c>
      <c r="Z735" s="37"/>
      <c r="AA735" s="52" t="s">
        <v>84</v>
      </c>
      <c r="AB735" s="86">
        <v>55000</v>
      </c>
      <c r="AC735" s="86">
        <f>AB735+(AB735*10%)</f>
        <v>60500</v>
      </c>
      <c r="AD735" s="51" t="s">
        <v>66</v>
      </c>
      <c r="AE735" s="52" t="s">
        <v>81</v>
      </c>
      <c r="AF735" s="36"/>
    </row>
    <row r="736" spans="2:32" x14ac:dyDescent="0.3">
      <c r="B736" s="36"/>
      <c r="C736" s="36"/>
      <c r="E736" s="33"/>
      <c r="F736" s="33"/>
      <c r="G736" s="33"/>
      <c r="H736" s="33"/>
      <c r="I736" s="33"/>
      <c r="J736" s="36"/>
      <c r="K736" s="37"/>
      <c r="L736" s="375" t="s">
        <v>291</v>
      </c>
      <c r="M736" s="362" t="s">
        <v>1342</v>
      </c>
      <c r="N736" s="36" t="s">
        <v>1175</v>
      </c>
      <c r="O736" s="36" t="s">
        <v>1175</v>
      </c>
      <c r="P736" s="50"/>
      <c r="Q736" s="36" t="s">
        <v>1175</v>
      </c>
      <c r="R736" s="36"/>
      <c r="S736" s="36" t="s">
        <v>1175</v>
      </c>
      <c r="T736" s="36"/>
      <c r="U736" s="36" t="s">
        <v>1175</v>
      </c>
      <c r="V736" s="36"/>
      <c r="W736" s="36" t="s">
        <v>1175</v>
      </c>
      <c r="X736" s="36"/>
      <c r="Y736" s="36" t="s">
        <v>1175</v>
      </c>
      <c r="Z736" s="37"/>
      <c r="AA736" s="52"/>
      <c r="AB736" s="50"/>
      <c r="AC736" s="50"/>
      <c r="AD736" s="51"/>
      <c r="AE736" s="52"/>
      <c r="AF736" s="36"/>
    </row>
    <row r="737" spans="2:32" ht="42.75" x14ac:dyDescent="0.3">
      <c r="B737" s="36"/>
      <c r="C737" s="36"/>
      <c r="E737" s="33"/>
      <c r="F737" s="33"/>
      <c r="G737" s="33"/>
      <c r="H737" s="33"/>
      <c r="I737" s="33"/>
      <c r="J737" s="36"/>
      <c r="K737" s="374" t="s">
        <v>294</v>
      </c>
      <c r="L737" s="375" t="s">
        <v>291</v>
      </c>
      <c r="M737" s="362" t="s">
        <v>1504</v>
      </c>
      <c r="N737" s="41">
        <v>1</v>
      </c>
      <c r="O737" s="41">
        <v>1</v>
      </c>
      <c r="P737" s="50"/>
      <c r="Q737" s="41">
        <v>1</v>
      </c>
      <c r="R737" s="36"/>
      <c r="S737" s="41">
        <v>1</v>
      </c>
      <c r="T737" s="36"/>
      <c r="U737" s="41">
        <v>1</v>
      </c>
      <c r="V737" s="36"/>
      <c r="W737" s="41">
        <v>1</v>
      </c>
      <c r="X737" s="36"/>
      <c r="Y737" s="41">
        <v>1</v>
      </c>
      <c r="Z737" s="37"/>
      <c r="AA737" s="52"/>
      <c r="AB737" s="50"/>
      <c r="AC737" s="50"/>
      <c r="AD737" s="51"/>
      <c r="AE737" s="52"/>
      <c r="AF737" s="36"/>
    </row>
    <row r="738" spans="2:32" x14ac:dyDescent="0.3">
      <c r="B738" s="36"/>
      <c r="C738" s="36"/>
      <c r="E738" s="33"/>
      <c r="F738" s="33"/>
      <c r="G738" s="33"/>
      <c r="H738" s="33"/>
      <c r="I738" s="33"/>
      <c r="J738" s="36"/>
      <c r="K738" s="374" t="s">
        <v>295</v>
      </c>
      <c r="L738" s="375" t="s">
        <v>291</v>
      </c>
      <c r="M738" s="384" t="s">
        <v>1505</v>
      </c>
      <c r="N738" s="36"/>
      <c r="O738" s="36"/>
      <c r="P738" s="50"/>
      <c r="Q738" s="36"/>
      <c r="R738" s="36"/>
      <c r="S738" s="36"/>
      <c r="T738" s="36"/>
      <c r="U738" s="36"/>
      <c r="V738" s="36"/>
      <c r="W738" s="36"/>
      <c r="X738" s="36"/>
      <c r="Y738" s="36"/>
      <c r="Z738" s="37"/>
      <c r="AA738" s="52"/>
      <c r="AB738" s="50"/>
      <c r="AC738" s="50"/>
      <c r="AD738" s="51"/>
      <c r="AE738" s="52"/>
      <c r="AF738" s="36"/>
    </row>
    <row r="739" spans="2:32" x14ac:dyDescent="0.3">
      <c r="B739" s="92"/>
      <c r="C739" s="92"/>
      <c r="D739" s="445"/>
      <c r="E739" s="91"/>
      <c r="F739" s="91"/>
      <c r="G739" s="91"/>
      <c r="H739" s="91"/>
      <c r="I739" s="91"/>
      <c r="J739" s="92"/>
      <c r="K739" s="377" t="s">
        <v>297</v>
      </c>
      <c r="L739" s="378" t="s">
        <v>291</v>
      </c>
      <c r="M739" s="385" t="s">
        <v>1494</v>
      </c>
      <c r="N739" s="92"/>
      <c r="O739" s="92"/>
      <c r="P739" s="93"/>
      <c r="Q739" s="92"/>
      <c r="R739" s="92"/>
      <c r="S739" s="92"/>
      <c r="T739" s="92"/>
      <c r="U739" s="92"/>
      <c r="V739" s="92"/>
      <c r="W739" s="92"/>
      <c r="X739" s="92"/>
      <c r="Y739" s="92"/>
      <c r="Z739" s="101"/>
      <c r="AA739" s="95"/>
      <c r="AB739" s="93"/>
      <c r="AC739" s="93"/>
      <c r="AD739" s="94"/>
      <c r="AE739" s="95"/>
      <c r="AF739" s="92"/>
    </row>
    <row r="740" spans="2:32" x14ac:dyDescent="0.3">
      <c r="B740" s="36"/>
      <c r="C740" s="36"/>
      <c r="E740" s="33"/>
      <c r="F740" s="33"/>
      <c r="G740" s="33"/>
      <c r="H740" s="33"/>
      <c r="I740" s="33"/>
      <c r="J740" s="36"/>
      <c r="K740" s="37"/>
      <c r="L740" s="375"/>
      <c r="M740" s="362"/>
      <c r="N740" s="36"/>
      <c r="O740" s="36"/>
      <c r="P740" s="50"/>
      <c r="Q740" s="36"/>
      <c r="R740" s="36"/>
      <c r="S740" s="36"/>
      <c r="T740" s="36"/>
      <c r="U740" s="36"/>
      <c r="V740" s="36"/>
      <c r="W740" s="36"/>
      <c r="X740" s="36"/>
      <c r="Y740" s="36"/>
      <c r="Z740" s="37"/>
      <c r="AA740" s="52"/>
      <c r="AB740" s="50"/>
      <c r="AC740" s="50"/>
      <c r="AD740" s="51"/>
      <c r="AE740" s="52"/>
      <c r="AF740" s="36"/>
    </row>
    <row r="741" spans="2:32" ht="28.5" x14ac:dyDescent="0.3">
      <c r="B741" s="36"/>
      <c r="C741" s="36"/>
      <c r="E741" s="33">
        <v>1</v>
      </c>
      <c r="F741" s="70" t="s">
        <v>131</v>
      </c>
      <c r="G741" s="70" t="s">
        <v>131</v>
      </c>
      <c r="H741" s="33">
        <v>21</v>
      </c>
      <c r="I741" s="34">
        <v>9</v>
      </c>
      <c r="J741" s="36" t="s">
        <v>211</v>
      </c>
      <c r="K741" s="374" t="s">
        <v>290</v>
      </c>
      <c r="L741" s="375" t="s">
        <v>291</v>
      </c>
      <c r="M741" s="375" t="s">
        <v>292</v>
      </c>
      <c r="N741" s="36" t="s">
        <v>301</v>
      </c>
      <c r="O741" s="36" t="s">
        <v>301</v>
      </c>
      <c r="P741" s="50">
        <v>101250000</v>
      </c>
      <c r="Q741" s="36" t="s">
        <v>301</v>
      </c>
      <c r="R741" s="431">
        <f>P741+(P741*10%)</f>
        <v>111375000</v>
      </c>
      <c r="S741" s="36" t="s">
        <v>301</v>
      </c>
      <c r="T741" s="431">
        <f>R741+(R741*10%)</f>
        <v>122512500</v>
      </c>
      <c r="U741" s="36" t="s">
        <v>301</v>
      </c>
      <c r="V741" s="431">
        <f>T741+(T741*10%)</f>
        <v>134763750</v>
      </c>
      <c r="W741" s="36" t="s">
        <v>301</v>
      </c>
      <c r="X741" s="431">
        <f>V741+(V741*10%)</f>
        <v>148240125</v>
      </c>
      <c r="Y741" s="36" t="s">
        <v>301</v>
      </c>
      <c r="Z741" s="431">
        <f>X741+V741+T741+R741+P741</f>
        <v>618141375</v>
      </c>
      <c r="AA741" s="52" t="str">
        <f>AA735</f>
        <v>Dinas dikpora</v>
      </c>
      <c r="AB741" s="50">
        <v>312000</v>
      </c>
      <c r="AC741" s="50">
        <f t="shared" ref="AC741" si="25">AB741+(AB741*10%)</f>
        <v>343200</v>
      </c>
      <c r="AD741" s="51" t="s">
        <v>84</v>
      </c>
      <c r="AE741" s="52" t="s">
        <v>81</v>
      </c>
      <c r="AF741" s="36" t="s">
        <v>75</v>
      </c>
    </row>
    <row r="742" spans="2:32" x14ac:dyDescent="0.3">
      <c r="B742" s="36"/>
      <c r="C742" s="36"/>
      <c r="E742" s="33"/>
      <c r="F742" s="33"/>
      <c r="G742" s="33"/>
      <c r="H742" s="33"/>
      <c r="I742" s="33"/>
      <c r="J742" s="36"/>
      <c r="K742" s="374" t="s">
        <v>293</v>
      </c>
      <c r="L742" s="375" t="s">
        <v>291</v>
      </c>
      <c r="M742" s="362" t="s">
        <v>1343</v>
      </c>
      <c r="N742" s="36" t="s">
        <v>360</v>
      </c>
      <c r="O742" s="36" t="s">
        <v>360</v>
      </c>
      <c r="P742" s="50"/>
      <c r="Q742" s="36" t="s">
        <v>360</v>
      </c>
      <c r="R742" s="36"/>
      <c r="S742" s="36" t="s">
        <v>360</v>
      </c>
      <c r="T742" s="36"/>
      <c r="U742" s="36" t="s">
        <v>360</v>
      </c>
      <c r="V742" s="36"/>
      <c r="W742" s="36" t="s">
        <v>360</v>
      </c>
      <c r="X742" s="36"/>
      <c r="Y742" s="36" t="s">
        <v>360</v>
      </c>
      <c r="Z742" s="37"/>
      <c r="AA742" s="52"/>
      <c r="AB742" s="50"/>
      <c r="AC742" s="50"/>
      <c r="AD742" s="51"/>
      <c r="AE742" s="52"/>
      <c r="AF742" s="36"/>
    </row>
    <row r="743" spans="2:32" ht="42.75" x14ac:dyDescent="0.3">
      <c r="B743" s="36"/>
      <c r="C743" s="36"/>
      <c r="E743" s="33"/>
      <c r="F743" s="33"/>
      <c r="G743" s="33"/>
      <c r="H743" s="33"/>
      <c r="I743" s="33"/>
      <c r="J743" s="36"/>
      <c r="K743" s="374" t="s">
        <v>294</v>
      </c>
      <c r="L743" s="375" t="s">
        <v>291</v>
      </c>
      <c r="M743" s="362" t="s">
        <v>1502</v>
      </c>
      <c r="N743" s="41">
        <v>1</v>
      </c>
      <c r="O743" s="41">
        <v>1</v>
      </c>
      <c r="P743" s="50"/>
      <c r="Q743" s="41">
        <v>1</v>
      </c>
      <c r="R743" s="36"/>
      <c r="S743" s="41">
        <v>1</v>
      </c>
      <c r="T743" s="36"/>
      <c r="U743" s="41">
        <v>1</v>
      </c>
      <c r="V743" s="36"/>
      <c r="W743" s="41">
        <v>1</v>
      </c>
      <c r="X743" s="36"/>
      <c r="Y743" s="41">
        <v>1</v>
      </c>
      <c r="Z743" s="37"/>
      <c r="AA743" s="52"/>
      <c r="AB743" s="50"/>
      <c r="AC743" s="50"/>
      <c r="AD743" s="51"/>
      <c r="AE743" s="52"/>
      <c r="AF743" s="36"/>
    </row>
    <row r="744" spans="2:32" x14ac:dyDescent="0.3">
      <c r="B744" s="36"/>
      <c r="C744" s="36"/>
      <c r="E744" s="33"/>
      <c r="F744" s="33"/>
      <c r="G744" s="33"/>
      <c r="H744" s="33"/>
      <c r="I744" s="33"/>
      <c r="J744" s="36"/>
      <c r="K744" s="374" t="s">
        <v>295</v>
      </c>
      <c r="L744" s="375" t="s">
        <v>291</v>
      </c>
      <c r="M744" s="362" t="s">
        <v>1496</v>
      </c>
      <c r="N744" s="36"/>
      <c r="O744" s="36"/>
      <c r="P744" s="50"/>
      <c r="Q744" s="36"/>
      <c r="R744" s="36"/>
      <c r="S744" s="36"/>
      <c r="T744" s="36"/>
      <c r="U744" s="36"/>
      <c r="V744" s="36"/>
      <c r="W744" s="36"/>
      <c r="X744" s="36"/>
      <c r="Y744" s="36"/>
      <c r="Z744" s="37"/>
      <c r="AA744" s="52"/>
      <c r="AB744" s="50"/>
      <c r="AC744" s="50"/>
      <c r="AD744" s="51"/>
      <c r="AE744" s="52"/>
      <c r="AF744" s="36"/>
    </row>
    <row r="745" spans="2:32" x14ac:dyDescent="0.3">
      <c r="B745" s="92"/>
      <c r="C745" s="92"/>
      <c r="D745" s="445"/>
      <c r="E745" s="91"/>
      <c r="F745" s="91"/>
      <c r="G745" s="91"/>
      <c r="H745" s="91"/>
      <c r="I745" s="91"/>
      <c r="J745" s="92"/>
      <c r="K745" s="377" t="s">
        <v>297</v>
      </c>
      <c r="L745" s="378" t="s">
        <v>291</v>
      </c>
      <c r="M745" s="386" t="s">
        <v>1497</v>
      </c>
      <c r="N745" s="92"/>
      <c r="O745" s="92"/>
      <c r="P745" s="93"/>
      <c r="Q745" s="92"/>
      <c r="R745" s="92"/>
      <c r="S745" s="92"/>
      <c r="T745" s="92"/>
      <c r="U745" s="92"/>
      <c r="V745" s="92"/>
      <c r="W745" s="92"/>
      <c r="X745" s="92"/>
      <c r="Y745" s="92"/>
      <c r="Z745" s="101"/>
      <c r="AA745" s="95"/>
      <c r="AB745" s="93"/>
      <c r="AC745" s="93"/>
      <c r="AD745" s="94"/>
      <c r="AE745" s="95"/>
      <c r="AF745" s="92"/>
    </row>
    <row r="746" spans="2:32" x14ac:dyDescent="0.3">
      <c r="B746" s="36"/>
      <c r="C746" s="36"/>
      <c r="E746" s="33"/>
      <c r="F746" s="33"/>
      <c r="G746" s="33"/>
      <c r="H746" s="33"/>
      <c r="I746" s="33"/>
      <c r="J746" s="36"/>
      <c r="K746" s="374"/>
      <c r="L746" s="375"/>
      <c r="M746" s="362"/>
      <c r="N746" s="36"/>
      <c r="O746" s="36"/>
      <c r="P746" s="50"/>
      <c r="Q746" s="36"/>
      <c r="R746" s="36"/>
      <c r="S746" s="36"/>
      <c r="T746" s="36"/>
      <c r="U746" s="36"/>
      <c r="V746" s="36"/>
      <c r="W746" s="36"/>
      <c r="X746" s="36"/>
      <c r="Y746" s="36"/>
      <c r="Z746" s="37"/>
      <c r="AA746" s="52"/>
      <c r="AB746" s="50"/>
      <c r="AC746" s="50"/>
      <c r="AD746" s="51"/>
      <c r="AE746" s="52"/>
      <c r="AF746" s="36"/>
    </row>
    <row r="747" spans="2:32" ht="28.5" x14ac:dyDescent="0.3">
      <c r="B747" s="36"/>
      <c r="C747" s="36"/>
      <c r="E747" s="33">
        <v>1</v>
      </c>
      <c r="F747" s="70" t="s">
        <v>131</v>
      </c>
      <c r="G747" s="70" t="s">
        <v>131</v>
      </c>
      <c r="H747" s="33">
        <v>21</v>
      </c>
      <c r="I747" s="70">
        <v>11</v>
      </c>
      <c r="J747" s="36" t="s">
        <v>212</v>
      </c>
      <c r="K747" s="374" t="s">
        <v>290</v>
      </c>
      <c r="L747" s="375" t="s">
        <v>291</v>
      </c>
      <c r="M747" s="375" t="s">
        <v>292</v>
      </c>
      <c r="N747" s="36" t="s">
        <v>301</v>
      </c>
      <c r="O747" s="36" t="s">
        <v>301</v>
      </c>
      <c r="P747" s="50">
        <v>30725000</v>
      </c>
      <c r="Q747" s="36" t="s">
        <v>301</v>
      </c>
      <c r="R747" s="431">
        <f>P747+(P747*10%)</f>
        <v>33797500</v>
      </c>
      <c r="S747" s="36" t="s">
        <v>301</v>
      </c>
      <c r="T747" s="431">
        <f>R747+(R747*10%)</f>
        <v>37177250</v>
      </c>
      <c r="U747" s="36" t="s">
        <v>301</v>
      </c>
      <c r="V747" s="431">
        <f>T747+(T747*10%)</f>
        <v>40894975</v>
      </c>
      <c r="W747" s="36" t="s">
        <v>301</v>
      </c>
      <c r="X747" s="431">
        <f>V747+(V747*10%)</f>
        <v>44984472.5</v>
      </c>
      <c r="Y747" s="36" t="s">
        <v>301</v>
      </c>
      <c r="Z747" s="431">
        <f>X747+V747+T747+R747+P747</f>
        <v>187579197.5</v>
      </c>
      <c r="AA747" s="52"/>
      <c r="AB747" s="50"/>
      <c r="AC747" s="50"/>
      <c r="AD747" s="51"/>
      <c r="AE747" s="52"/>
      <c r="AF747" s="36"/>
    </row>
    <row r="748" spans="2:32" ht="42.75" x14ac:dyDescent="0.3">
      <c r="B748" s="36"/>
      <c r="C748" s="36"/>
      <c r="E748" s="33"/>
      <c r="F748" s="33"/>
      <c r="G748" s="33"/>
      <c r="H748" s="33"/>
      <c r="I748" s="33"/>
      <c r="J748" s="36"/>
      <c r="K748" s="374" t="s">
        <v>293</v>
      </c>
      <c r="L748" s="375" t="s">
        <v>291</v>
      </c>
      <c r="M748" s="362" t="s">
        <v>674</v>
      </c>
      <c r="N748" s="36" t="s">
        <v>364</v>
      </c>
      <c r="O748" s="36" t="s">
        <v>364</v>
      </c>
      <c r="P748" s="50"/>
      <c r="Q748" s="36" t="s">
        <v>364</v>
      </c>
      <c r="R748" s="36"/>
      <c r="S748" s="36" t="s">
        <v>364</v>
      </c>
      <c r="T748" s="36"/>
      <c r="U748" s="36" t="s">
        <v>364</v>
      </c>
      <c r="V748" s="36"/>
      <c r="W748" s="36" t="s">
        <v>364</v>
      </c>
      <c r="X748" s="36"/>
      <c r="Y748" s="36" t="s">
        <v>364</v>
      </c>
      <c r="Z748" s="37"/>
      <c r="AA748" s="52"/>
      <c r="AB748" s="50"/>
      <c r="AC748" s="50"/>
      <c r="AD748" s="51"/>
      <c r="AE748" s="52"/>
      <c r="AF748" s="36"/>
    </row>
    <row r="749" spans="2:32" ht="28.5" x14ac:dyDescent="0.3">
      <c r="B749" s="36"/>
      <c r="C749" s="36"/>
      <c r="E749" s="33"/>
      <c r="F749" s="33"/>
      <c r="G749" s="33"/>
      <c r="H749" s="33"/>
      <c r="I749" s="33"/>
      <c r="J749" s="36"/>
      <c r="K749" s="374" t="s">
        <v>294</v>
      </c>
      <c r="L749" s="375" t="s">
        <v>291</v>
      </c>
      <c r="M749" s="362" t="s">
        <v>1503</v>
      </c>
      <c r="N749" s="41">
        <v>1</v>
      </c>
      <c r="O749" s="41">
        <v>1</v>
      </c>
      <c r="P749" s="50"/>
      <c r="Q749" s="41">
        <v>1</v>
      </c>
      <c r="R749" s="36"/>
      <c r="S749" s="41">
        <v>1</v>
      </c>
      <c r="T749" s="36"/>
      <c r="U749" s="41">
        <v>1</v>
      </c>
      <c r="V749" s="36"/>
      <c r="W749" s="41">
        <v>1</v>
      </c>
      <c r="X749" s="36"/>
      <c r="Y749" s="41">
        <v>1</v>
      </c>
      <c r="Z749" s="37"/>
      <c r="AA749" s="52"/>
      <c r="AB749" s="50"/>
      <c r="AC749" s="50"/>
      <c r="AD749" s="51"/>
      <c r="AE749" s="52"/>
      <c r="AF749" s="36"/>
    </row>
    <row r="750" spans="2:32" x14ac:dyDescent="0.3">
      <c r="B750" s="36"/>
      <c r="C750" s="36"/>
      <c r="E750" s="33"/>
      <c r="F750" s="33"/>
      <c r="G750" s="33"/>
      <c r="H750" s="33"/>
      <c r="I750" s="33"/>
      <c r="J750" s="36"/>
      <c r="K750" s="374" t="s">
        <v>295</v>
      </c>
      <c r="L750" s="375" t="s">
        <v>291</v>
      </c>
      <c r="M750" s="362" t="s">
        <v>1496</v>
      </c>
      <c r="N750" s="36"/>
      <c r="O750" s="36"/>
      <c r="P750" s="50"/>
      <c r="Q750" s="36"/>
      <c r="R750" s="36"/>
      <c r="S750" s="36"/>
      <c r="T750" s="36"/>
      <c r="U750" s="36"/>
      <c r="V750" s="36"/>
      <c r="W750" s="36"/>
      <c r="X750" s="36"/>
      <c r="Y750" s="36"/>
      <c r="Z750" s="37"/>
      <c r="AA750" s="52"/>
      <c r="AB750" s="50"/>
      <c r="AC750" s="50"/>
      <c r="AD750" s="51"/>
      <c r="AE750" s="52"/>
      <c r="AF750" s="36"/>
    </row>
    <row r="751" spans="2:32" x14ac:dyDescent="0.3">
      <c r="B751" s="92"/>
      <c r="C751" s="92"/>
      <c r="D751" s="445"/>
      <c r="E751" s="91"/>
      <c r="F751" s="91"/>
      <c r="G751" s="91"/>
      <c r="H751" s="91"/>
      <c r="I751" s="91"/>
      <c r="J751" s="92"/>
      <c r="K751" s="377" t="s">
        <v>297</v>
      </c>
      <c r="L751" s="378" t="s">
        <v>291</v>
      </c>
      <c r="M751" s="386" t="s">
        <v>1497</v>
      </c>
      <c r="N751" s="92"/>
      <c r="O751" s="92"/>
      <c r="P751" s="93"/>
      <c r="Q751" s="92"/>
      <c r="R751" s="92"/>
      <c r="S751" s="92"/>
      <c r="T751" s="92"/>
      <c r="U751" s="92"/>
      <c r="V751" s="92"/>
      <c r="W751" s="92"/>
      <c r="X751" s="92"/>
      <c r="Y751" s="92"/>
      <c r="Z751" s="101"/>
      <c r="AA751" s="95"/>
      <c r="AB751" s="93"/>
      <c r="AC751" s="93"/>
      <c r="AD751" s="94"/>
      <c r="AE751" s="95"/>
      <c r="AF751" s="92"/>
    </row>
    <row r="752" spans="2:32" x14ac:dyDescent="0.3">
      <c r="B752" s="36"/>
      <c r="C752" s="36"/>
      <c r="E752" s="33"/>
      <c r="F752" s="33"/>
      <c r="G752" s="33"/>
      <c r="H752" s="33"/>
      <c r="I752" s="33"/>
      <c r="J752" s="36"/>
      <c r="K752" s="374"/>
      <c r="L752" s="375"/>
      <c r="M752" s="362"/>
      <c r="N752" s="36"/>
      <c r="O752" s="36"/>
      <c r="P752" s="50"/>
      <c r="Q752" s="36"/>
      <c r="R752" s="36"/>
      <c r="S752" s="36"/>
      <c r="T752" s="36"/>
      <c r="U752" s="36"/>
      <c r="V752" s="36"/>
      <c r="W752" s="36"/>
      <c r="X752" s="36"/>
      <c r="Y752" s="36"/>
      <c r="Z752" s="37"/>
      <c r="AA752" s="52"/>
      <c r="AB752" s="50"/>
      <c r="AC752" s="50"/>
      <c r="AD752" s="51"/>
      <c r="AE752" s="52"/>
      <c r="AF752" s="36"/>
    </row>
    <row r="753" spans="2:32" ht="28.5" x14ac:dyDescent="0.3">
      <c r="B753" s="36"/>
      <c r="C753" s="36"/>
      <c r="E753" s="26"/>
      <c r="F753" s="26"/>
      <c r="G753" s="26"/>
      <c r="H753" s="26"/>
      <c r="I753" s="26"/>
      <c r="J753" s="27" t="s">
        <v>60</v>
      </c>
      <c r="K753" s="35"/>
      <c r="L753" s="39"/>
      <c r="M753" s="362"/>
      <c r="N753" s="36"/>
      <c r="O753" s="36"/>
      <c r="P753" s="82"/>
      <c r="Q753" s="36"/>
      <c r="R753" s="36"/>
      <c r="S753" s="36"/>
      <c r="T753" s="36"/>
      <c r="U753" s="36"/>
      <c r="V753" s="36"/>
      <c r="W753" s="36"/>
      <c r="X753" s="36"/>
      <c r="Y753" s="36"/>
      <c r="Z753" s="37"/>
      <c r="AA753" s="75"/>
      <c r="AB753" s="50">
        <v>35487</v>
      </c>
      <c r="AC753" s="50">
        <v>86031</v>
      </c>
      <c r="AD753" s="51" t="s">
        <v>84</v>
      </c>
      <c r="AE753" s="52" t="s">
        <v>81</v>
      </c>
      <c r="AF753" s="27"/>
    </row>
    <row r="754" spans="2:32" s="87" customFormat="1" ht="15" x14ac:dyDescent="0.25">
      <c r="B754" s="504" t="s">
        <v>1560</v>
      </c>
      <c r="C754" s="504" t="s">
        <v>1562</v>
      </c>
      <c r="D754" s="434"/>
      <c r="E754" s="26">
        <v>1</v>
      </c>
      <c r="F754" s="69" t="s">
        <v>131</v>
      </c>
      <c r="G754" s="69" t="s">
        <v>131</v>
      </c>
      <c r="H754" s="26">
        <v>22</v>
      </c>
      <c r="I754" s="26"/>
      <c r="J754" s="27" t="s">
        <v>213</v>
      </c>
      <c r="K754" s="496" t="s">
        <v>1344</v>
      </c>
      <c r="L754" s="497"/>
      <c r="M754" s="498"/>
      <c r="N754" s="372">
        <v>0.88</v>
      </c>
      <c r="O754" s="372">
        <v>0.88</v>
      </c>
      <c r="P754" s="82">
        <f t="shared" ref="P754:R754" si="26">SUM(P757:P807)</f>
        <v>3513705500</v>
      </c>
      <c r="Q754" s="372">
        <v>0.88</v>
      </c>
      <c r="R754" s="82">
        <f t="shared" si="26"/>
        <v>3865076050</v>
      </c>
      <c r="S754" s="372">
        <v>0.88</v>
      </c>
      <c r="T754" s="82">
        <f t="shared" ref="T754" si="27">SUM(T757:T807)</f>
        <v>4251583655</v>
      </c>
      <c r="U754" s="372">
        <v>0.88</v>
      </c>
      <c r="V754" s="82">
        <f t="shared" ref="V754" si="28">SUM(V757:V807)</f>
        <v>4676742020.5</v>
      </c>
      <c r="W754" s="372">
        <v>0.88</v>
      </c>
      <c r="X754" s="82">
        <f t="shared" ref="X754" si="29">SUM(X757:X807)</f>
        <v>5144416222.5500002</v>
      </c>
      <c r="Y754" s="372">
        <v>0.88</v>
      </c>
      <c r="Z754" s="430">
        <f>X754+V754+T754+R754+P754</f>
        <v>21451523448.049999</v>
      </c>
      <c r="AA754" s="75"/>
      <c r="AB754" s="82"/>
      <c r="AC754" s="82"/>
      <c r="AD754" s="83"/>
      <c r="AE754" s="75"/>
      <c r="AF754" s="27" t="s">
        <v>214</v>
      </c>
    </row>
    <row r="755" spans="2:32" ht="28.5" x14ac:dyDescent="0.3">
      <c r="B755" s="504"/>
      <c r="C755" s="504"/>
      <c r="E755" s="26"/>
      <c r="F755" s="69"/>
      <c r="G755" s="69"/>
      <c r="H755" s="26"/>
      <c r="I755" s="26"/>
      <c r="J755" s="27"/>
      <c r="K755" s="35"/>
      <c r="L755" s="39"/>
      <c r="M755" s="362"/>
      <c r="N755" s="372"/>
      <c r="O755" s="372"/>
      <c r="P755" s="82"/>
      <c r="Q755" s="372"/>
      <c r="R755" s="40"/>
      <c r="S755" s="372"/>
      <c r="T755" s="40"/>
      <c r="U755" s="372"/>
      <c r="V755" s="40"/>
      <c r="W755" s="372"/>
      <c r="X755" s="40"/>
      <c r="Y755" s="372"/>
      <c r="Z755" s="43"/>
      <c r="AA755" s="75"/>
      <c r="AB755" s="50">
        <v>299973</v>
      </c>
      <c r="AC755" s="50">
        <v>299973</v>
      </c>
      <c r="AD755" s="51" t="s">
        <v>84</v>
      </c>
      <c r="AE755" s="52" t="s">
        <v>81</v>
      </c>
      <c r="AF755" s="27"/>
    </row>
    <row r="756" spans="2:32" x14ac:dyDescent="0.3">
      <c r="B756" s="504"/>
      <c r="C756" s="504"/>
      <c r="E756" s="26"/>
      <c r="F756" s="26"/>
      <c r="G756" s="26"/>
      <c r="H756" s="26"/>
      <c r="I756" s="26"/>
      <c r="J756" s="27" t="s">
        <v>63</v>
      </c>
      <c r="K756" s="35"/>
      <c r="L756" s="39"/>
      <c r="M756" s="361"/>
      <c r="N756" s="27"/>
      <c r="O756" s="27"/>
      <c r="P756" s="82"/>
      <c r="Q756" s="27"/>
      <c r="R756" s="36"/>
      <c r="S756" s="27"/>
      <c r="T756" s="36"/>
      <c r="U756" s="27"/>
      <c r="V756" s="36"/>
      <c r="W756" s="27"/>
      <c r="X756" s="36"/>
      <c r="Y756" s="27"/>
      <c r="Z756" s="37"/>
      <c r="AA756" s="75"/>
      <c r="AB756" s="50"/>
      <c r="AC756" s="50"/>
      <c r="AD756" s="51"/>
      <c r="AE756" s="52"/>
      <c r="AF756" s="27"/>
    </row>
    <row r="757" spans="2:32" ht="28.5" x14ac:dyDescent="0.3">
      <c r="B757" s="504"/>
      <c r="C757" s="504"/>
      <c r="E757" s="33">
        <v>1</v>
      </c>
      <c r="F757" s="70" t="s">
        <v>131</v>
      </c>
      <c r="G757" s="70" t="s">
        <v>131</v>
      </c>
      <c r="H757" s="33">
        <v>22</v>
      </c>
      <c r="I757" s="34">
        <v>1</v>
      </c>
      <c r="J757" s="36" t="s">
        <v>215</v>
      </c>
      <c r="K757" s="374" t="s">
        <v>290</v>
      </c>
      <c r="L757" s="375" t="s">
        <v>291</v>
      </c>
      <c r="M757" s="375" t="s">
        <v>292</v>
      </c>
      <c r="N757" s="36" t="s">
        <v>301</v>
      </c>
      <c r="O757" s="36" t="s">
        <v>301</v>
      </c>
      <c r="P757" s="50">
        <v>15525000</v>
      </c>
      <c r="Q757" s="36" t="s">
        <v>301</v>
      </c>
      <c r="R757" s="431">
        <f>P757+(P757*10%)</f>
        <v>17077500</v>
      </c>
      <c r="S757" s="36" t="s">
        <v>301</v>
      </c>
      <c r="T757" s="431">
        <f>R757+(R757*10%)</f>
        <v>18785250</v>
      </c>
      <c r="U757" s="36" t="s">
        <v>301</v>
      </c>
      <c r="V757" s="431">
        <f>T757+(T757*10%)</f>
        <v>20663775</v>
      </c>
      <c r="W757" s="36" t="s">
        <v>301</v>
      </c>
      <c r="X757" s="431">
        <f>V757+(V757*10%)</f>
        <v>22730152.5</v>
      </c>
      <c r="Y757" s="36" t="s">
        <v>301</v>
      </c>
      <c r="Z757" s="431">
        <f>X757+V757+T757+R757+P757</f>
        <v>94781677.5</v>
      </c>
      <c r="AA757" s="52" t="s">
        <v>66</v>
      </c>
      <c r="AB757" s="50">
        <v>612728</v>
      </c>
      <c r="AC757" s="50">
        <v>612728</v>
      </c>
      <c r="AD757" s="51" t="s">
        <v>66</v>
      </c>
      <c r="AE757" s="52" t="s">
        <v>81</v>
      </c>
      <c r="AF757" s="36" t="s">
        <v>148</v>
      </c>
    </row>
    <row r="758" spans="2:32" ht="28.5" x14ac:dyDescent="0.3">
      <c r="B758" s="504"/>
      <c r="C758" s="504"/>
      <c r="E758" s="33"/>
      <c r="F758" s="33"/>
      <c r="G758" s="33"/>
      <c r="H758" s="33"/>
      <c r="I758" s="33"/>
      <c r="J758" s="36"/>
      <c r="K758" s="374" t="s">
        <v>293</v>
      </c>
      <c r="L758" s="375" t="s">
        <v>291</v>
      </c>
      <c r="M758" s="362" t="s">
        <v>1345</v>
      </c>
      <c r="N758" s="36" t="s">
        <v>874</v>
      </c>
      <c r="O758" s="36" t="s">
        <v>874</v>
      </c>
      <c r="P758" s="50"/>
      <c r="Q758" s="36" t="s">
        <v>874</v>
      </c>
      <c r="R758" s="36"/>
      <c r="S758" s="36" t="s">
        <v>874</v>
      </c>
      <c r="T758" s="36"/>
      <c r="U758" s="36" t="s">
        <v>874</v>
      </c>
      <c r="V758" s="36"/>
      <c r="W758" s="36" t="s">
        <v>874</v>
      </c>
      <c r="X758" s="36"/>
      <c r="Y758" s="36" t="s">
        <v>874</v>
      </c>
      <c r="Z758" s="37"/>
      <c r="AA758" s="52"/>
      <c r="AB758" s="50">
        <v>28000</v>
      </c>
      <c r="AC758" s="50">
        <v>30800</v>
      </c>
      <c r="AD758" s="51" t="s">
        <v>66</v>
      </c>
      <c r="AE758" s="52" t="s">
        <v>81</v>
      </c>
      <c r="AF758" s="36"/>
    </row>
    <row r="759" spans="2:32" ht="28.5" x14ac:dyDescent="0.3">
      <c r="B759" s="504"/>
      <c r="C759" s="36"/>
      <c r="E759" s="33"/>
      <c r="F759" s="33"/>
      <c r="G759" s="33"/>
      <c r="H759" s="33"/>
      <c r="I759" s="33"/>
      <c r="J759" s="36"/>
      <c r="K759" s="374" t="s">
        <v>294</v>
      </c>
      <c r="L759" s="375" t="s">
        <v>291</v>
      </c>
      <c r="M759" s="362" t="s">
        <v>1506</v>
      </c>
      <c r="N759" s="41">
        <v>1</v>
      </c>
      <c r="O759" s="41">
        <v>1</v>
      </c>
      <c r="P759" s="50"/>
      <c r="Q759" s="41">
        <v>1</v>
      </c>
      <c r="R759" s="36"/>
      <c r="S759" s="41">
        <v>1</v>
      </c>
      <c r="T759" s="36"/>
      <c r="U759" s="41">
        <v>1</v>
      </c>
      <c r="V759" s="36"/>
      <c r="W759" s="41">
        <v>1</v>
      </c>
      <c r="X759" s="36"/>
      <c r="Y759" s="41">
        <v>1</v>
      </c>
      <c r="Z759" s="37"/>
      <c r="AA759" s="52"/>
      <c r="AB759" s="50"/>
      <c r="AC759" s="50"/>
      <c r="AD759" s="51"/>
      <c r="AE759" s="52"/>
      <c r="AF759" s="36"/>
    </row>
    <row r="760" spans="2:32" x14ac:dyDescent="0.3">
      <c r="B760" s="504"/>
      <c r="C760" s="36"/>
      <c r="E760" s="33"/>
      <c r="F760" s="33"/>
      <c r="G760" s="33"/>
      <c r="H760" s="33"/>
      <c r="I760" s="33"/>
      <c r="J760" s="36"/>
      <c r="K760" s="374" t="s">
        <v>295</v>
      </c>
      <c r="L760" s="375" t="s">
        <v>291</v>
      </c>
      <c r="M760" s="384" t="s">
        <v>1507</v>
      </c>
      <c r="N760" s="36"/>
      <c r="O760" s="36"/>
      <c r="P760" s="50"/>
      <c r="Q760" s="36"/>
      <c r="R760" s="36"/>
      <c r="S760" s="36"/>
      <c r="T760" s="36"/>
      <c r="U760" s="36"/>
      <c r="V760" s="36"/>
      <c r="W760" s="36"/>
      <c r="X760" s="36"/>
      <c r="Y760" s="36"/>
      <c r="Z760" s="37"/>
      <c r="AA760" s="52"/>
      <c r="AB760" s="50"/>
      <c r="AC760" s="50"/>
      <c r="AD760" s="51"/>
      <c r="AE760" s="52"/>
      <c r="AF760" s="36"/>
    </row>
    <row r="761" spans="2:32" x14ac:dyDescent="0.3">
      <c r="B761" s="92"/>
      <c r="C761" s="92"/>
      <c r="D761" s="445"/>
      <c r="E761" s="91"/>
      <c r="F761" s="91"/>
      <c r="G761" s="91"/>
      <c r="H761" s="91"/>
      <c r="I761" s="91"/>
      <c r="J761" s="92"/>
      <c r="K761" s="377" t="s">
        <v>297</v>
      </c>
      <c r="L761" s="378" t="s">
        <v>291</v>
      </c>
      <c r="M761" s="385" t="s">
        <v>861</v>
      </c>
      <c r="N761" s="92"/>
      <c r="O761" s="92"/>
      <c r="P761" s="93"/>
      <c r="Q761" s="92"/>
      <c r="R761" s="92"/>
      <c r="S761" s="92"/>
      <c r="T761" s="92"/>
      <c r="U761" s="92"/>
      <c r="V761" s="92"/>
      <c r="W761" s="92"/>
      <c r="X761" s="92"/>
      <c r="Y761" s="92"/>
      <c r="Z761" s="101"/>
      <c r="AA761" s="95"/>
      <c r="AB761" s="93"/>
      <c r="AC761" s="93"/>
      <c r="AD761" s="94"/>
      <c r="AE761" s="95"/>
      <c r="AF761" s="92"/>
    </row>
    <row r="762" spans="2:32" x14ac:dyDescent="0.3">
      <c r="B762" s="36"/>
      <c r="C762" s="36"/>
      <c r="E762" s="33"/>
      <c r="F762" s="33"/>
      <c r="G762" s="33"/>
      <c r="H762" s="33"/>
      <c r="I762" s="33"/>
      <c r="J762" s="36"/>
      <c r="K762" s="37"/>
      <c r="L762" s="46"/>
      <c r="M762" s="362"/>
      <c r="N762" s="36"/>
      <c r="O762" s="36"/>
      <c r="P762" s="50"/>
      <c r="Q762" s="36"/>
      <c r="R762" s="36"/>
      <c r="S762" s="36"/>
      <c r="T762" s="36"/>
      <c r="U762" s="36"/>
      <c r="V762" s="36"/>
      <c r="W762" s="36"/>
      <c r="X762" s="36"/>
      <c r="Y762" s="36"/>
      <c r="Z762" s="37"/>
      <c r="AA762" s="52"/>
      <c r="AB762" s="50"/>
      <c r="AC762" s="50"/>
      <c r="AD762" s="51"/>
      <c r="AE762" s="52"/>
      <c r="AF762" s="36"/>
    </row>
    <row r="763" spans="2:32" x14ac:dyDescent="0.3">
      <c r="B763" s="36"/>
      <c r="C763" s="36"/>
      <c r="E763" s="33">
        <v>1</v>
      </c>
      <c r="F763" s="70" t="s">
        <v>131</v>
      </c>
      <c r="G763" s="70" t="s">
        <v>131</v>
      </c>
      <c r="H763" s="33">
        <v>22</v>
      </c>
      <c r="I763" s="34">
        <v>2</v>
      </c>
      <c r="J763" s="36" t="s">
        <v>216</v>
      </c>
      <c r="K763" s="374" t="s">
        <v>290</v>
      </c>
      <c r="L763" s="375" t="s">
        <v>291</v>
      </c>
      <c r="M763" s="375" t="s">
        <v>292</v>
      </c>
      <c r="N763" s="36" t="s">
        <v>301</v>
      </c>
      <c r="O763" s="36" t="s">
        <v>301</v>
      </c>
      <c r="P763" s="50">
        <v>45145000</v>
      </c>
      <c r="Q763" s="36" t="s">
        <v>301</v>
      </c>
      <c r="R763" s="431">
        <f>P763+(P763*10%)</f>
        <v>49659500</v>
      </c>
      <c r="S763" s="36" t="s">
        <v>301</v>
      </c>
      <c r="T763" s="431">
        <f>R763+(R763*10%)</f>
        <v>54625450</v>
      </c>
      <c r="U763" s="36" t="s">
        <v>301</v>
      </c>
      <c r="V763" s="431">
        <f>T763+(T763*10%)</f>
        <v>60087995</v>
      </c>
      <c r="W763" s="36" t="s">
        <v>301</v>
      </c>
      <c r="X763" s="431">
        <f>V763+(V763*10%)</f>
        <v>66096794.5</v>
      </c>
      <c r="Y763" s="36" t="s">
        <v>301</v>
      </c>
      <c r="Z763" s="431">
        <f>X763+V763+T763+R763+P763</f>
        <v>275614739.5</v>
      </c>
      <c r="AA763" s="52" t="str">
        <f>AA757</f>
        <v>Dinas Dikpora</v>
      </c>
      <c r="AB763" s="50"/>
      <c r="AC763" s="50"/>
      <c r="AD763" s="51"/>
      <c r="AE763" s="52"/>
      <c r="AF763" s="36" t="s">
        <v>75</v>
      </c>
    </row>
    <row r="764" spans="2:32" ht="42.75" x14ac:dyDescent="0.3">
      <c r="B764" s="36"/>
      <c r="C764" s="36"/>
      <c r="E764" s="33"/>
      <c r="F764" s="33"/>
      <c r="G764" s="33"/>
      <c r="H764" s="33"/>
      <c r="I764" s="33"/>
      <c r="J764" s="36"/>
      <c r="K764" s="374" t="s">
        <v>293</v>
      </c>
      <c r="L764" s="375" t="s">
        <v>291</v>
      </c>
      <c r="M764" s="362" t="s">
        <v>1346</v>
      </c>
      <c r="N764" s="36" t="s">
        <v>843</v>
      </c>
      <c r="O764" s="36" t="s">
        <v>843</v>
      </c>
      <c r="P764" s="50"/>
      <c r="Q764" s="36" t="s">
        <v>843</v>
      </c>
      <c r="R764" s="36"/>
      <c r="S764" s="36" t="s">
        <v>843</v>
      </c>
      <c r="T764" s="36"/>
      <c r="U764" s="36" t="s">
        <v>843</v>
      </c>
      <c r="V764" s="36"/>
      <c r="W764" s="36" t="s">
        <v>843</v>
      </c>
      <c r="X764" s="36"/>
      <c r="Y764" s="36" t="s">
        <v>843</v>
      </c>
      <c r="Z764" s="37"/>
      <c r="AA764" s="52"/>
      <c r="AB764" s="50">
        <v>33000</v>
      </c>
      <c r="AC764" s="50">
        <v>36300</v>
      </c>
      <c r="AD764" s="51" t="s">
        <v>66</v>
      </c>
      <c r="AE764" s="52" t="s">
        <v>81</v>
      </c>
      <c r="AF764" s="36"/>
    </row>
    <row r="765" spans="2:32" x14ac:dyDescent="0.3">
      <c r="B765" s="36"/>
      <c r="C765" s="36"/>
      <c r="E765" s="33"/>
      <c r="F765" s="33"/>
      <c r="G765" s="33"/>
      <c r="H765" s="33"/>
      <c r="I765" s="33"/>
      <c r="J765" s="36"/>
      <c r="K765" s="374" t="s">
        <v>294</v>
      </c>
      <c r="L765" s="375" t="s">
        <v>291</v>
      </c>
      <c r="M765" s="362" t="s">
        <v>1508</v>
      </c>
      <c r="N765" s="41">
        <v>1</v>
      </c>
      <c r="O765" s="41">
        <v>1</v>
      </c>
      <c r="P765" s="50"/>
      <c r="Q765" s="41">
        <v>1</v>
      </c>
      <c r="R765" s="36"/>
      <c r="S765" s="41">
        <v>1</v>
      </c>
      <c r="T765" s="36"/>
      <c r="U765" s="41">
        <v>1</v>
      </c>
      <c r="V765" s="36"/>
      <c r="W765" s="41">
        <v>1</v>
      </c>
      <c r="X765" s="36"/>
      <c r="Y765" s="41">
        <v>1</v>
      </c>
      <c r="Z765" s="37"/>
      <c r="AA765" s="52"/>
      <c r="AB765" s="50"/>
      <c r="AC765" s="50"/>
      <c r="AD765" s="51"/>
      <c r="AE765" s="52"/>
      <c r="AF765" s="36"/>
    </row>
    <row r="766" spans="2:32" x14ac:dyDescent="0.3">
      <c r="B766" s="36"/>
      <c r="C766" s="36"/>
      <c r="E766" s="33"/>
      <c r="F766" s="33"/>
      <c r="G766" s="33"/>
      <c r="H766" s="33"/>
      <c r="I766" s="33"/>
      <c r="J766" s="36"/>
      <c r="K766" s="374" t="s">
        <v>295</v>
      </c>
      <c r="L766" s="375" t="s">
        <v>291</v>
      </c>
      <c r="M766" s="384" t="s">
        <v>1507</v>
      </c>
      <c r="N766" s="36"/>
      <c r="O766" s="36"/>
      <c r="P766" s="50"/>
      <c r="Q766" s="36"/>
      <c r="R766" s="36"/>
      <c r="S766" s="36"/>
      <c r="T766" s="36"/>
      <c r="U766" s="36"/>
      <c r="V766" s="36"/>
      <c r="W766" s="36"/>
      <c r="X766" s="36"/>
      <c r="Y766" s="36"/>
      <c r="Z766" s="37"/>
      <c r="AA766" s="52"/>
      <c r="AB766" s="50"/>
      <c r="AC766" s="50"/>
      <c r="AD766" s="51"/>
      <c r="AE766" s="52"/>
      <c r="AF766" s="36"/>
    </row>
    <row r="767" spans="2:32" x14ac:dyDescent="0.3">
      <c r="B767" s="92"/>
      <c r="C767" s="92"/>
      <c r="D767" s="445"/>
      <c r="E767" s="91"/>
      <c r="F767" s="91"/>
      <c r="G767" s="91"/>
      <c r="H767" s="91"/>
      <c r="I767" s="91"/>
      <c r="J767" s="92"/>
      <c r="K767" s="377" t="s">
        <v>297</v>
      </c>
      <c r="L767" s="378" t="s">
        <v>291</v>
      </c>
      <c r="M767" s="385" t="s">
        <v>861</v>
      </c>
      <c r="N767" s="92"/>
      <c r="O767" s="92"/>
      <c r="P767" s="93"/>
      <c r="Q767" s="92"/>
      <c r="R767" s="92"/>
      <c r="S767" s="92"/>
      <c r="T767" s="92"/>
      <c r="U767" s="92"/>
      <c r="V767" s="92"/>
      <c r="W767" s="92"/>
      <c r="X767" s="92"/>
      <c r="Y767" s="92"/>
      <c r="Z767" s="101"/>
      <c r="AA767" s="95"/>
      <c r="AB767" s="93"/>
      <c r="AC767" s="93"/>
      <c r="AD767" s="94"/>
      <c r="AE767" s="95"/>
      <c r="AF767" s="92"/>
    </row>
    <row r="768" spans="2:32" x14ac:dyDescent="0.3">
      <c r="B768" s="36"/>
      <c r="C768" s="36"/>
      <c r="E768" s="33"/>
      <c r="F768" s="33"/>
      <c r="G768" s="33"/>
      <c r="H768" s="33"/>
      <c r="I768" s="33"/>
      <c r="J768" s="36"/>
      <c r="K768" s="37"/>
      <c r="L768" s="46"/>
      <c r="M768" s="362"/>
      <c r="N768" s="36"/>
      <c r="O768" s="36"/>
      <c r="P768" s="50"/>
      <c r="Q768" s="36"/>
      <c r="R768" s="36"/>
      <c r="S768" s="36"/>
      <c r="T768" s="36"/>
      <c r="U768" s="36"/>
      <c r="V768" s="36"/>
      <c r="W768" s="36"/>
      <c r="X768" s="36"/>
      <c r="Y768" s="36"/>
      <c r="Z768" s="37"/>
      <c r="AA768" s="52"/>
      <c r="AB768" s="50"/>
      <c r="AC768" s="50"/>
      <c r="AD768" s="51"/>
      <c r="AE768" s="52"/>
      <c r="AF768" s="36"/>
    </row>
    <row r="769" spans="2:32" x14ac:dyDescent="0.3">
      <c r="B769" s="36"/>
      <c r="C769" s="36"/>
      <c r="E769" s="33">
        <v>1</v>
      </c>
      <c r="F769" s="70" t="s">
        <v>131</v>
      </c>
      <c r="G769" s="70" t="s">
        <v>131</v>
      </c>
      <c r="H769" s="33">
        <v>22</v>
      </c>
      <c r="I769" s="34">
        <v>3</v>
      </c>
      <c r="J769" s="36" t="s">
        <v>217</v>
      </c>
      <c r="K769" s="374" t="s">
        <v>290</v>
      </c>
      <c r="L769" s="375" t="s">
        <v>291</v>
      </c>
      <c r="M769" s="375" t="s">
        <v>292</v>
      </c>
      <c r="N769" s="36" t="s">
        <v>301</v>
      </c>
      <c r="O769" s="36" t="s">
        <v>301</v>
      </c>
      <c r="P769" s="50">
        <v>189475000</v>
      </c>
      <c r="Q769" s="36" t="s">
        <v>301</v>
      </c>
      <c r="R769" s="431">
        <f>P769+(P769*10%)</f>
        <v>208422500</v>
      </c>
      <c r="S769" s="36" t="s">
        <v>301</v>
      </c>
      <c r="T769" s="431">
        <f>R769+(R769*10%)</f>
        <v>229264750</v>
      </c>
      <c r="U769" s="36" t="s">
        <v>301</v>
      </c>
      <c r="V769" s="431">
        <f>T769+(T769*10%)</f>
        <v>252191225</v>
      </c>
      <c r="W769" s="36" t="s">
        <v>301</v>
      </c>
      <c r="X769" s="431">
        <f>V769+(V769*10%)</f>
        <v>277410347.5</v>
      </c>
      <c r="Y769" s="36" t="s">
        <v>301</v>
      </c>
      <c r="Z769" s="431">
        <f>X769+V769+T769+R769+P769</f>
        <v>1156763822.5</v>
      </c>
      <c r="AA769" s="52" t="str">
        <f>AA763</f>
        <v>Dinas Dikpora</v>
      </c>
      <c r="AB769" s="50"/>
      <c r="AC769" s="50"/>
      <c r="AD769" s="51"/>
      <c r="AE769" s="52"/>
      <c r="AF769" s="36" t="s">
        <v>75</v>
      </c>
    </row>
    <row r="770" spans="2:32" s="32" customFormat="1" ht="28.5" x14ac:dyDescent="0.25">
      <c r="B770" s="27"/>
      <c r="C770" s="27"/>
      <c r="D770" s="434"/>
      <c r="E770" s="33"/>
      <c r="F770" s="33"/>
      <c r="G770" s="33"/>
      <c r="H770" s="33"/>
      <c r="I770" s="33"/>
      <c r="J770" s="36"/>
      <c r="K770" s="374" t="s">
        <v>293</v>
      </c>
      <c r="L770" s="375" t="s">
        <v>291</v>
      </c>
      <c r="M770" s="362" t="s">
        <v>863</v>
      </c>
      <c r="N770" s="36" t="s">
        <v>864</v>
      </c>
      <c r="O770" s="36" t="s">
        <v>864</v>
      </c>
      <c r="P770" s="50"/>
      <c r="Q770" s="36" t="s">
        <v>864</v>
      </c>
      <c r="R770" s="27"/>
      <c r="S770" s="36" t="s">
        <v>864</v>
      </c>
      <c r="T770" s="27"/>
      <c r="U770" s="36" t="s">
        <v>864</v>
      </c>
      <c r="V770" s="27"/>
      <c r="W770" s="36" t="s">
        <v>864</v>
      </c>
      <c r="X770" s="27"/>
      <c r="Y770" s="36" t="s">
        <v>864</v>
      </c>
      <c r="Z770" s="35"/>
      <c r="AA770" s="52"/>
      <c r="AB770" s="82"/>
      <c r="AC770" s="82"/>
      <c r="AD770" s="83"/>
      <c r="AE770" s="75"/>
      <c r="AF770" s="36"/>
    </row>
    <row r="771" spans="2:32" s="32" customFormat="1" ht="28.5" x14ac:dyDescent="0.25">
      <c r="B771" s="27"/>
      <c r="C771" s="27"/>
      <c r="D771" s="434"/>
      <c r="E771" s="33"/>
      <c r="F771" s="33"/>
      <c r="G771" s="33"/>
      <c r="H771" s="33"/>
      <c r="I771" s="33"/>
      <c r="J771" s="36"/>
      <c r="K771" s="374" t="s">
        <v>294</v>
      </c>
      <c r="L771" s="375" t="s">
        <v>291</v>
      </c>
      <c r="M771" s="362" t="s">
        <v>1509</v>
      </c>
      <c r="N771" s="41">
        <v>1</v>
      </c>
      <c r="O771" s="41">
        <v>1</v>
      </c>
      <c r="P771" s="50"/>
      <c r="Q771" s="41">
        <v>1</v>
      </c>
      <c r="R771" s="27"/>
      <c r="S771" s="41">
        <v>1</v>
      </c>
      <c r="T771" s="27"/>
      <c r="U771" s="41">
        <v>1</v>
      </c>
      <c r="V771" s="27"/>
      <c r="W771" s="41">
        <v>1</v>
      </c>
      <c r="X771" s="27"/>
      <c r="Y771" s="41">
        <v>1</v>
      </c>
      <c r="Z771" s="35"/>
      <c r="AA771" s="52"/>
      <c r="AB771" s="82"/>
      <c r="AC771" s="82"/>
      <c r="AD771" s="83"/>
      <c r="AE771" s="75"/>
      <c r="AF771" s="36"/>
    </row>
    <row r="772" spans="2:32" s="32" customFormat="1" x14ac:dyDescent="0.3">
      <c r="B772" s="27"/>
      <c r="C772" s="27"/>
      <c r="D772" s="434"/>
      <c r="E772" s="33"/>
      <c r="F772" s="33"/>
      <c r="G772" s="33"/>
      <c r="H772" s="33"/>
      <c r="I772" s="33"/>
      <c r="J772" s="36"/>
      <c r="K772" s="374" t="s">
        <v>295</v>
      </c>
      <c r="L772" s="375" t="s">
        <v>291</v>
      </c>
      <c r="M772" s="384" t="s">
        <v>1507</v>
      </c>
      <c r="N772" s="36"/>
      <c r="O772" s="36"/>
      <c r="P772" s="50"/>
      <c r="Q772" s="36"/>
      <c r="R772" s="27"/>
      <c r="S772" s="36"/>
      <c r="T772" s="27"/>
      <c r="U772" s="36"/>
      <c r="V772" s="27"/>
      <c r="W772" s="36"/>
      <c r="X772" s="27"/>
      <c r="Y772" s="36"/>
      <c r="Z772" s="35"/>
      <c r="AA772" s="52"/>
      <c r="AB772" s="82"/>
      <c r="AC772" s="82"/>
      <c r="AD772" s="83"/>
      <c r="AE772" s="75"/>
      <c r="AF772" s="36"/>
    </row>
    <row r="773" spans="2:32" s="32" customFormat="1" x14ac:dyDescent="0.3">
      <c r="B773" s="393"/>
      <c r="C773" s="393"/>
      <c r="D773" s="439"/>
      <c r="E773" s="91"/>
      <c r="F773" s="91"/>
      <c r="G773" s="91"/>
      <c r="H773" s="91"/>
      <c r="I773" s="91"/>
      <c r="J773" s="92"/>
      <c r="K773" s="377" t="s">
        <v>297</v>
      </c>
      <c r="L773" s="378" t="s">
        <v>291</v>
      </c>
      <c r="M773" s="385" t="s">
        <v>861</v>
      </c>
      <c r="N773" s="92"/>
      <c r="O773" s="92"/>
      <c r="P773" s="93"/>
      <c r="Q773" s="92"/>
      <c r="R773" s="393"/>
      <c r="S773" s="92"/>
      <c r="T773" s="393"/>
      <c r="U773" s="92"/>
      <c r="V773" s="393"/>
      <c r="W773" s="92"/>
      <c r="X773" s="393"/>
      <c r="Y773" s="92"/>
      <c r="Z773" s="418"/>
      <c r="AA773" s="95"/>
      <c r="AB773" s="419"/>
      <c r="AC773" s="419"/>
      <c r="AD773" s="420"/>
      <c r="AE773" s="408"/>
      <c r="AF773" s="92"/>
    </row>
    <row r="774" spans="2:32" s="32" customFormat="1" ht="15" x14ac:dyDescent="0.25">
      <c r="B774" s="27"/>
      <c r="C774" s="27"/>
      <c r="D774" s="434"/>
      <c r="E774" s="33"/>
      <c r="F774" s="33"/>
      <c r="G774" s="33"/>
      <c r="H774" s="33"/>
      <c r="I774" s="33"/>
      <c r="J774" s="36"/>
      <c r="K774" s="37"/>
      <c r="L774" s="46"/>
      <c r="M774" s="362"/>
      <c r="N774" s="36"/>
      <c r="O774" s="36"/>
      <c r="P774" s="50"/>
      <c r="Q774" s="36"/>
      <c r="R774" s="27"/>
      <c r="S774" s="36"/>
      <c r="T774" s="27"/>
      <c r="U774" s="36"/>
      <c r="V774" s="27"/>
      <c r="W774" s="36"/>
      <c r="X774" s="27"/>
      <c r="Y774" s="36"/>
      <c r="Z774" s="35"/>
      <c r="AA774" s="52"/>
      <c r="AB774" s="82"/>
      <c r="AC774" s="82"/>
      <c r="AD774" s="83"/>
      <c r="AE774" s="75"/>
      <c r="AF774" s="36"/>
    </row>
    <row r="775" spans="2:32" s="32" customFormat="1" ht="15" x14ac:dyDescent="0.25">
      <c r="B775" s="36"/>
      <c r="C775" s="36"/>
      <c r="D775" s="434"/>
      <c r="E775" s="33">
        <v>1</v>
      </c>
      <c r="F775" s="70" t="s">
        <v>131</v>
      </c>
      <c r="G775" s="70" t="s">
        <v>131</v>
      </c>
      <c r="H775" s="33">
        <v>22</v>
      </c>
      <c r="I775" s="34">
        <v>4</v>
      </c>
      <c r="J775" s="36" t="s">
        <v>218</v>
      </c>
      <c r="K775" s="374" t="s">
        <v>290</v>
      </c>
      <c r="L775" s="375" t="s">
        <v>291</v>
      </c>
      <c r="M775" s="375" t="s">
        <v>292</v>
      </c>
      <c r="N775" s="36" t="s">
        <v>301</v>
      </c>
      <c r="O775" s="36" t="s">
        <v>301</v>
      </c>
      <c r="P775" s="50">
        <v>2890445000</v>
      </c>
      <c r="Q775" s="36" t="s">
        <v>301</v>
      </c>
      <c r="R775" s="431">
        <f>P775+(P775*10%)</f>
        <v>3179489500</v>
      </c>
      <c r="S775" s="36" t="s">
        <v>301</v>
      </c>
      <c r="T775" s="431">
        <f>R775+(R775*10%)</f>
        <v>3497438450</v>
      </c>
      <c r="U775" s="36" t="s">
        <v>301</v>
      </c>
      <c r="V775" s="431">
        <f>T775+(T775*10%)</f>
        <v>3847182295</v>
      </c>
      <c r="W775" s="36" t="s">
        <v>301</v>
      </c>
      <c r="X775" s="431">
        <f>V775+(V775*10%)</f>
        <v>4231900524.5</v>
      </c>
      <c r="Y775" s="36" t="s">
        <v>301</v>
      </c>
      <c r="Z775" s="431">
        <f>X775+V775+T775+R775+P775</f>
        <v>17646455769.5</v>
      </c>
      <c r="AA775" s="52" t="str">
        <f>AA769</f>
        <v>Dinas Dikpora</v>
      </c>
      <c r="AB775" s="82">
        <f>SUM(AB782:AB819)</f>
        <v>663240</v>
      </c>
      <c r="AC775" s="82">
        <f>SUM(AC782:AC819)</f>
        <v>761064</v>
      </c>
      <c r="AD775" s="83"/>
      <c r="AE775" s="75"/>
      <c r="AF775" s="36" t="s">
        <v>75</v>
      </c>
    </row>
    <row r="776" spans="2:32" ht="28.5" x14ac:dyDescent="0.3">
      <c r="B776" s="36"/>
      <c r="C776" s="36"/>
      <c r="E776" s="33"/>
      <c r="F776" s="33"/>
      <c r="G776" s="33"/>
      <c r="H776" s="33"/>
      <c r="I776" s="33"/>
      <c r="J776" s="36"/>
      <c r="K776" s="374" t="s">
        <v>293</v>
      </c>
      <c r="L776" s="375" t="s">
        <v>291</v>
      </c>
      <c r="M776" s="362" t="s">
        <v>1347</v>
      </c>
      <c r="N776" s="36" t="s">
        <v>1176</v>
      </c>
      <c r="O776" s="36" t="s">
        <v>1176</v>
      </c>
      <c r="P776" s="50"/>
      <c r="Q776" s="36" t="s">
        <v>1176</v>
      </c>
      <c r="R776" s="36"/>
      <c r="S776" s="36" t="s">
        <v>1176</v>
      </c>
      <c r="T776" s="36"/>
      <c r="U776" s="36" t="s">
        <v>1176</v>
      </c>
      <c r="V776" s="36"/>
      <c r="W776" s="36" t="s">
        <v>1176</v>
      </c>
      <c r="X776" s="36"/>
      <c r="Y776" s="36" t="s">
        <v>1176</v>
      </c>
      <c r="Z776" s="37"/>
      <c r="AA776" s="52"/>
      <c r="AB776" s="50"/>
      <c r="AC776" s="50"/>
      <c r="AD776" s="51"/>
      <c r="AE776" s="52"/>
      <c r="AF776" s="36"/>
    </row>
    <row r="777" spans="2:32" ht="28.5" x14ac:dyDescent="0.3">
      <c r="B777" s="36"/>
      <c r="C777" s="36"/>
      <c r="E777" s="33"/>
      <c r="F777" s="33"/>
      <c r="G777" s="33"/>
      <c r="H777" s="33"/>
      <c r="I777" s="33"/>
      <c r="J777" s="36"/>
      <c r="K777" s="374" t="s">
        <v>294</v>
      </c>
      <c r="L777" s="375" t="s">
        <v>291</v>
      </c>
      <c r="M777" s="362" t="s">
        <v>1510</v>
      </c>
      <c r="N777" s="41">
        <v>1</v>
      </c>
      <c r="O777" s="41">
        <v>1</v>
      </c>
      <c r="P777" s="50"/>
      <c r="Q777" s="41">
        <v>1</v>
      </c>
      <c r="R777" s="36"/>
      <c r="S777" s="41">
        <v>1</v>
      </c>
      <c r="T777" s="36"/>
      <c r="U777" s="41">
        <v>1</v>
      </c>
      <c r="V777" s="36"/>
      <c r="W777" s="41">
        <v>1</v>
      </c>
      <c r="X777" s="36"/>
      <c r="Y777" s="41">
        <v>1</v>
      </c>
      <c r="Z777" s="37"/>
      <c r="AA777" s="52"/>
      <c r="AB777" s="50"/>
      <c r="AC777" s="50"/>
      <c r="AD777" s="51"/>
      <c r="AE777" s="52"/>
      <c r="AF777" s="36"/>
    </row>
    <row r="778" spans="2:32" x14ac:dyDescent="0.3">
      <c r="B778" s="36"/>
      <c r="C778" s="36"/>
      <c r="E778" s="33"/>
      <c r="F778" s="33"/>
      <c r="G778" s="33"/>
      <c r="H778" s="33"/>
      <c r="I778" s="33"/>
      <c r="J778" s="36"/>
      <c r="K778" s="374" t="s">
        <v>295</v>
      </c>
      <c r="L778" s="375" t="s">
        <v>291</v>
      </c>
      <c r="M778" s="384" t="s">
        <v>861</v>
      </c>
      <c r="N778" s="36"/>
      <c r="O778" s="36"/>
      <c r="P778" s="50"/>
      <c r="Q778" s="36"/>
      <c r="R778" s="36"/>
      <c r="S778" s="36"/>
      <c r="T778" s="36"/>
      <c r="U778" s="36"/>
      <c r="V778" s="36"/>
      <c r="W778" s="36"/>
      <c r="X778" s="36"/>
      <c r="Y778" s="36"/>
      <c r="Z778" s="37"/>
      <c r="AA778" s="52"/>
      <c r="AB778" s="50"/>
      <c r="AC778" s="50"/>
      <c r="AD778" s="51"/>
      <c r="AE778" s="52"/>
      <c r="AF778" s="36"/>
    </row>
    <row r="779" spans="2:32" x14ac:dyDescent="0.3">
      <c r="B779" s="92"/>
      <c r="C779" s="92"/>
      <c r="D779" s="445"/>
      <c r="E779" s="91"/>
      <c r="F779" s="91"/>
      <c r="G779" s="91"/>
      <c r="H779" s="91"/>
      <c r="I779" s="91"/>
      <c r="J779" s="92"/>
      <c r="K779" s="377" t="s">
        <v>297</v>
      </c>
      <c r="L779" s="378" t="s">
        <v>291</v>
      </c>
      <c r="M779" s="385" t="s">
        <v>862</v>
      </c>
      <c r="N779" s="92"/>
      <c r="O779" s="92"/>
      <c r="P779" s="93"/>
      <c r="Q779" s="92"/>
      <c r="R779" s="92"/>
      <c r="S779" s="92"/>
      <c r="T779" s="92"/>
      <c r="U779" s="92"/>
      <c r="V779" s="92"/>
      <c r="W779" s="92"/>
      <c r="X779" s="92"/>
      <c r="Y779" s="92"/>
      <c r="Z779" s="101"/>
      <c r="AA779" s="95"/>
      <c r="AB779" s="93"/>
      <c r="AC779" s="93"/>
      <c r="AD779" s="94"/>
      <c r="AE779" s="95"/>
      <c r="AF779" s="92"/>
    </row>
    <row r="780" spans="2:32" x14ac:dyDescent="0.3">
      <c r="B780" s="36"/>
      <c r="C780" s="36"/>
      <c r="E780" s="33"/>
      <c r="F780" s="33"/>
      <c r="G780" s="33"/>
      <c r="H780" s="33"/>
      <c r="I780" s="33"/>
      <c r="J780" s="36"/>
      <c r="K780" s="37"/>
      <c r="L780" s="46"/>
      <c r="M780" s="362"/>
      <c r="N780" s="36"/>
      <c r="O780" s="36"/>
      <c r="P780" s="50"/>
      <c r="Q780" s="36"/>
      <c r="R780" s="36"/>
      <c r="S780" s="36"/>
      <c r="T780" s="36"/>
      <c r="U780" s="36"/>
      <c r="V780" s="36"/>
      <c r="W780" s="36"/>
      <c r="X780" s="36"/>
      <c r="Y780" s="36"/>
      <c r="Z780" s="37"/>
      <c r="AA780" s="52"/>
      <c r="AB780" s="50"/>
      <c r="AC780" s="50"/>
      <c r="AD780" s="51"/>
      <c r="AE780" s="52"/>
      <c r="AF780" s="36"/>
    </row>
    <row r="781" spans="2:32" s="32" customFormat="1" ht="15" x14ac:dyDescent="0.25">
      <c r="B781" s="27"/>
      <c r="C781" s="27"/>
      <c r="D781" s="434"/>
      <c r="E781" s="33">
        <v>1</v>
      </c>
      <c r="F781" s="70" t="s">
        <v>131</v>
      </c>
      <c r="G781" s="70" t="s">
        <v>131</v>
      </c>
      <c r="H781" s="33">
        <v>22</v>
      </c>
      <c r="I781" s="34">
        <v>5</v>
      </c>
      <c r="J781" s="36" t="s">
        <v>219</v>
      </c>
      <c r="K781" s="374" t="s">
        <v>290</v>
      </c>
      <c r="L781" s="375" t="s">
        <v>291</v>
      </c>
      <c r="M781" s="375" t="s">
        <v>292</v>
      </c>
      <c r="N781" s="36" t="s">
        <v>301</v>
      </c>
      <c r="O781" s="36" t="s">
        <v>301</v>
      </c>
      <c r="P781" s="50">
        <v>314375000</v>
      </c>
      <c r="Q781" s="36" t="s">
        <v>301</v>
      </c>
      <c r="R781" s="431">
        <f>P781+(P781*10%)</f>
        <v>345812500</v>
      </c>
      <c r="S781" s="36" t="s">
        <v>301</v>
      </c>
      <c r="T781" s="431">
        <f>R781+(R781*10%)</f>
        <v>380393750</v>
      </c>
      <c r="U781" s="36" t="s">
        <v>301</v>
      </c>
      <c r="V781" s="431">
        <f>T781+(T781*10%)</f>
        <v>418433125</v>
      </c>
      <c r="W781" s="36" t="s">
        <v>301</v>
      </c>
      <c r="X781" s="431">
        <f>V781+(V781*10%)</f>
        <v>460276437.5</v>
      </c>
      <c r="Y781" s="36" t="s">
        <v>301</v>
      </c>
      <c r="Z781" s="431">
        <f>X781+V781+T781+R781+P781</f>
        <v>1919290812.5</v>
      </c>
      <c r="AA781" s="52" t="str">
        <f>AA775</f>
        <v>Dinas Dikpora</v>
      </c>
      <c r="AB781" s="82"/>
      <c r="AC781" s="82"/>
      <c r="AD781" s="83"/>
      <c r="AE781" s="75"/>
      <c r="AF781" s="36" t="s">
        <v>148</v>
      </c>
    </row>
    <row r="782" spans="2:32" s="32" customFormat="1" ht="28.5" x14ac:dyDescent="0.25">
      <c r="B782" s="36"/>
      <c r="C782" s="36"/>
      <c r="D782" s="434"/>
      <c r="E782" s="33"/>
      <c r="F782" s="70"/>
      <c r="G782" s="70"/>
      <c r="H782" s="33"/>
      <c r="I782" s="70"/>
      <c r="J782" s="36"/>
      <c r="K782" s="374" t="s">
        <v>293</v>
      </c>
      <c r="L782" s="375" t="s">
        <v>291</v>
      </c>
      <c r="M782" s="362" t="s">
        <v>877</v>
      </c>
      <c r="N782" s="36" t="s">
        <v>878</v>
      </c>
      <c r="O782" s="36" t="s">
        <v>878</v>
      </c>
      <c r="P782" s="50">
        <v>0</v>
      </c>
      <c r="Q782" s="36" t="s">
        <v>878</v>
      </c>
      <c r="R782" s="36"/>
      <c r="S782" s="36" t="s">
        <v>878</v>
      </c>
      <c r="T782" s="36"/>
      <c r="U782" s="36" t="s">
        <v>878</v>
      </c>
      <c r="V782" s="36"/>
      <c r="W782" s="36" t="s">
        <v>878</v>
      </c>
      <c r="X782" s="36"/>
      <c r="Y782" s="36" t="s">
        <v>878</v>
      </c>
      <c r="Z782" s="37"/>
      <c r="AA782" s="52"/>
      <c r="AB782" s="50">
        <v>10000</v>
      </c>
      <c r="AC782" s="50">
        <f>AB782+(AB782*10%)</f>
        <v>11000</v>
      </c>
      <c r="AD782" s="51" t="s">
        <v>66</v>
      </c>
      <c r="AE782" s="52" t="s">
        <v>81</v>
      </c>
      <c r="AF782" s="36" t="s">
        <v>75</v>
      </c>
    </row>
    <row r="783" spans="2:32" s="72" customFormat="1" x14ac:dyDescent="0.3">
      <c r="B783" s="36"/>
      <c r="C783" s="36"/>
      <c r="D783" s="433"/>
      <c r="E783" s="33"/>
      <c r="F783" s="33"/>
      <c r="G783" s="33"/>
      <c r="H783" s="33"/>
      <c r="I783" s="33"/>
      <c r="J783" s="36"/>
      <c r="K783" s="374"/>
      <c r="L783" s="375" t="s">
        <v>291</v>
      </c>
      <c r="M783" s="362" t="s">
        <v>1348</v>
      </c>
      <c r="N783" s="36" t="s">
        <v>1177</v>
      </c>
      <c r="O783" s="36" t="s">
        <v>1177</v>
      </c>
      <c r="P783" s="50"/>
      <c r="Q783" s="36" t="s">
        <v>1177</v>
      </c>
      <c r="R783" s="36"/>
      <c r="S783" s="36" t="s">
        <v>1177</v>
      </c>
      <c r="T783" s="36"/>
      <c r="U783" s="36" t="s">
        <v>1177</v>
      </c>
      <c r="V783" s="36"/>
      <c r="W783" s="36" t="s">
        <v>1177</v>
      </c>
      <c r="X783" s="36"/>
      <c r="Y783" s="36" t="s">
        <v>1177</v>
      </c>
      <c r="Z783" s="37"/>
      <c r="AA783" s="52"/>
      <c r="AB783" s="50"/>
      <c r="AC783" s="50"/>
      <c r="AD783" s="51"/>
      <c r="AE783" s="52"/>
      <c r="AF783" s="36"/>
    </row>
    <row r="784" spans="2:32" s="72" customFormat="1" ht="28.5" x14ac:dyDescent="0.3">
      <c r="B784" s="36"/>
      <c r="C784" s="36"/>
      <c r="D784" s="433"/>
      <c r="E784" s="33"/>
      <c r="F784" s="33"/>
      <c r="G784" s="33"/>
      <c r="H784" s="33"/>
      <c r="I784" s="33"/>
      <c r="J784" s="36"/>
      <c r="K784" s="374" t="s">
        <v>294</v>
      </c>
      <c r="L784" s="375" t="s">
        <v>291</v>
      </c>
      <c r="M784" s="362" t="s">
        <v>1511</v>
      </c>
      <c r="N784" s="41">
        <v>1</v>
      </c>
      <c r="O784" s="41">
        <v>1</v>
      </c>
      <c r="P784" s="50"/>
      <c r="Q784" s="41">
        <v>1</v>
      </c>
      <c r="R784" s="36"/>
      <c r="S784" s="41">
        <v>1</v>
      </c>
      <c r="T784" s="36"/>
      <c r="U784" s="41">
        <v>1</v>
      </c>
      <c r="V784" s="36"/>
      <c r="W784" s="41">
        <v>1</v>
      </c>
      <c r="X784" s="36"/>
      <c r="Y784" s="41">
        <v>1</v>
      </c>
      <c r="Z784" s="37"/>
      <c r="AA784" s="52"/>
      <c r="AB784" s="50"/>
      <c r="AC784" s="50"/>
      <c r="AD784" s="51"/>
      <c r="AE784" s="52"/>
      <c r="AF784" s="36"/>
    </row>
    <row r="785" spans="2:32" s="72" customFormat="1" x14ac:dyDescent="0.3">
      <c r="B785" s="36"/>
      <c r="C785" s="36"/>
      <c r="D785" s="433"/>
      <c r="E785" s="33"/>
      <c r="F785" s="33"/>
      <c r="G785" s="33"/>
      <c r="H785" s="33"/>
      <c r="I785" s="33"/>
      <c r="J785" s="36"/>
      <c r="K785" s="374" t="s">
        <v>295</v>
      </c>
      <c r="L785" s="375" t="s">
        <v>291</v>
      </c>
      <c r="M785" s="384" t="s">
        <v>861</v>
      </c>
      <c r="N785" s="36"/>
      <c r="O785" s="36"/>
      <c r="P785" s="50"/>
      <c r="Q785" s="36"/>
      <c r="R785" s="36"/>
      <c r="S785" s="36"/>
      <c r="T785" s="36"/>
      <c r="U785" s="36"/>
      <c r="V785" s="36"/>
      <c r="W785" s="36"/>
      <c r="X785" s="36"/>
      <c r="Y785" s="36"/>
      <c r="Z785" s="37"/>
      <c r="AA785" s="52"/>
      <c r="AB785" s="50"/>
      <c r="AC785" s="50"/>
      <c r="AD785" s="51"/>
      <c r="AE785" s="52"/>
      <c r="AF785" s="36"/>
    </row>
    <row r="786" spans="2:32" s="72" customFormat="1" x14ac:dyDescent="0.3">
      <c r="B786" s="92"/>
      <c r="C786" s="92"/>
      <c r="D786" s="445"/>
      <c r="E786" s="91"/>
      <c r="F786" s="91"/>
      <c r="G786" s="91"/>
      <c r="H786" s="91"/>
      <c r="I786" s="91"/>
      <c r="J786" s="92"/>
      <c r="K786" s="377" t="s">
        <v>297</v>
      </c>
      <c r="L786" s="378" t="s">
        <v>291</v>
      </c>
      <c r="M786" s="385" t="s">
        <v>869</v>
      </c>
      <c r="N786" s="92"/>
      <c r="O786" s="92"/>
      <c r="P786" s="93"/>
      <c r="Q786" s="92"/>
      <c r="R786" s="92"/>
      <c r="S786" s="92"/>
      <c r="T786" s="92"/>
      <c r="U786" s="92"/>
      <c r="V786" s="92"/>
      <c r="W786" s="92"/>
      <c r="X786" s="92"/>
      <c r="Y786" s="92"/>
      <c r="Z786" s="101"/>
      <c r="AA786" s="95"/>
      <c r="AB786" s="93"/>
      <c r="AC786" s="93"/>
      <c r="AD786" s="94"/>
      <c r="AE786" s="95"/>
      <c r="AF786" s="92"/>
    </row>
    <row r="787" spans="2:32" s="72" customFormat="1" x14ac:dyDescent="0.3">
      <c r="B787" s="36"/>
      <c r="C787" s="36"/>
      <c r="D787" s="433"/>
      <c r="E787" s="33"/>
      <c r="F787" s="33"/>
      <c r="G787" s="33"/>
      <c r="H787" s="33"/>
      <c r="I787" s="33"/>
      <c r="J787" s="36"/>
      <c r="K787" s="37"/>
      <c r="L787" s="46"/>
      <c r="M787" s="362"/>
      <c r="N787" s="36"/>
      <c r="O787" s="36"/>
      <c r="P787" s="50"/>
      <c r="Q787" s="36"/>
      <c r="R787" s="36"/>
      <c r="S787" s="36"/>
      <c r="T787" s="36"/>
      <c r="U787" s="36"/>
      <c r="V787" s="36"/>
      <c r="W787" s="36"/>
      <c r="X787" s="36"/>
      <c r="Y787" s="36"/>
      <c r="Z787" s="37"/>
      <c r="AA787" s="52"/>
      <c r="AB787" s="50"/>
      <c r="AC787" s="50"/>
      <c r="AD787" s="51"/>
      <c r="AE787" s="52"/>
      <c r="AF787" s="36"/>
    </row>
    <row r="788" spans="2:32" ht="28.5" x14ac:dyDescent="0.3">
      <c r="B788" s="36"/>
      <c r="C788" s="36"/>
      <c r="E788" s="33">
        <v>1</v>
      </c>
      <c r="F788" s="70" t="s">
        <v>131</v>
      </c>
      <c r="G788" s="70" t="s">
        <v>131</v>
      </c>
      <c r="H788" s="33">
        <v>22</v>
      </c>
      <c r="I788" s="34">
        <v>6</v>
      </c>
      <c r="J788" s="36" t="s">
        <v>220</v>
      </c>
      <c r="K788" s="374" t="s">
        <v>290</v>
      </c>
      <c r="L788" s="375" t="s">
        <v>291</v>
      </c>
      <c r="M788" s="375" t="s">
        <v>292</v>
      </c>
      <c r="N788" s="36" t="s">
        <v>301</v>
      </c>
      <c r="O788" s="36" t="s">
        <v>301</v>
      </c>
      <c r="P788" s="50">
        <v>13610000</v>
      </c>
      <c r="Q788" s="36" t="s">
        <v>301</v>
      </c>
      <c r="R788" s="431">
        <f>P788+(P788*10%)</f>
        <v>14971000</v>
      </c>
      <c r="S788" s="36" t="s">
        <v>301</v>
      </c>
      <c r="T788" s="431">
        <f>R788+(R788*10%)</f>
        <v>16468100</v>
      </c>
      <c r="U788" s="36" t="s">
        <v>301</v>
      </c>
      <c r="V788" s="431">
        <f>T788+(T788*10%)</f>
        <v>18114910</v>
      </c>
      <c r="W788" s="36" t="s">
        <v>301</v>
      </c>
      <c r="X788" s="431">
        <f>V788+(V788*10%)</f>
        <v>19926401</v>
      </c>
      <c r="Y788" s="36" t="s">
        <v>301</v>
      </c>
      <c r="Z788" s="431">
        <f>X788+V788+T788+R788+P788</f>
        <v>83090411</v>
      </c>
      <c r="AA788" s="52" t="s">
        <v>66</v>
      </c>
      <c r="AB788" s="50">
        <v>52000</v>
      </c>
      <c r="AC788" s="50">
        <f>AB788+(AB788*10%)</f>
        <v>57200</v>
      </c>
      <c r="AD788" s="51" t="s">
        <v>66</v>
      </c>
      <c r="AE788" s="52" t="s">
        <v>81</v>
      </c>
      <c r="AF788" s="36" t="s">
        <v>148</v>
      </c>
    </row>
    <row r="789" spans="2:32" ht="28.5" x14ac:dyDescent="0.3">
      <c r="B789" s="36"/>
      <c r="C789" s="36"/>
      <c r="E789" s="33"/>
      <c r="F789" s="70"/>
      <c r="G789" s="70"/>
      <c r="H789" s="33"/>
      <c r="I789" s="70"/>
      <c r="J789" s="36"/>
      <c r="K789" s="374" t="s">
        <v>293</v>
      </c>
      <c r="L789" s="375" t="s">
        <v>291</v>
      </c>
      <c r="M789" s="362" t="s">
        <v>848</v>
      </c>
      <c r="N789" s="36" t="s">
        <v>849</v>
      </c>
      <c r="O789" s="36" t="s">
        <v>849</v>
      </c>
      <c r="P789" s="50"/>
      <c r="Q789" s="36" t="s">
        <v>849</v>
      </c>
      <c r="R789" s="36"/>
      <c r="S789" s="36" t="s">
        <v>849</v>
      </c>
      <c r="T789" s="36"/>
      <c r="U789" s="36" t="s">
        <v>849</v>
      </c>
      <c r="V789" s="36"/>
      <c r="W789" s="36" t="s">
        <v>849</v>
      </c>
      <c r="X789" s="36"/>
      <c r="Y789" s="36" t="s">
        <v>849</v>
      </c>
      <c r="Z789" s="37"/>
      <c r="AA789" s="52" t="s">
        <v>66</v>
      </c>
      <c r="AB789" s="50"/>
      <c r="AC789" s="50"/>
      <c r="AD789" s="51"/>
      <c r="AE789" s="52"/>
      <c r="AF789" s="36" t="s">
        <v>148</v>
      </c>
    </row>
    <row r="790" spans="2:32" ht="28.5" x14ac:dyDescent="0.3">
      <c r="B790" s="36"/>
      <c r="C790" s="36"/>
      <c r="E790" s="33"/>
      <c r="F790" s="33"/>
      <c r="G790" s="33"/>
      <c r="H790" s="33"/>
      <c r="I790" s="33"/>
      <c r="J790" s="36"/>
      <c r="K790" s="37"/>
      <c r="L790" s="375" t="s">
        <v>291</v>
      </c>
      <c r="M790" s="362" t="s">
        <v>1349</v>
      </c>
      <c r="N790" s="36" t="s">
        <v>146</v>
      </c>
      <c r="O790" s="36" t="s">
        <v>146</v>
      </c>
      <c r="P790" s="50"/>
      <c r="Q790" s="36" t="s">
        <v>146</v>
      </c>
      <c r="R790" s="36"/>
      <c r="S790" s="36" t="s">
        <v>146</v>
      </c>
      <c r="T790" s="36"/>
      <c r="U790" s="36" t="s">
        <v>146</v>
      </c>
      <c r="V790" s="36"/>
      <c r="W790" s="36" t="s">
        <v>146</v>
      </c>
      <c r="X790" s="36"/>
      <c r="Y790" s="36" t="s">
        <v>146</v>
      </c>
      <c r="Z790" s="37"/>
      <c r="AA790" s="52"/>
      <c r="AB790" s="84">
        <v>355000</v>
      </c>
      <c r="AC790" s="50">
        <f>AB790+(AB790*20%)</f>
        <v>426000</v>
      </c>
      <c r="AD790" s="51" t="s">
        <v>66</v>
      </c>
      <c r="AE790" s="52" t="s">
        <v>67</v>
      </c>
      <c r="AF790" s="36"/>
    </row>
    <row r="791" spans="2:32" ht="28.5" x14ac:dyDescent="0.3">
      <c r="B791" s="36"/>
      <c r="C791" s="36"/>
      <c r="E791" s="33"/>
      <c r="F791" s="33"/>
      <c r="G791" s="33"/>
      <c r="H791" s="33"/>
      <c r="I791" s="33"/>
      <c r="J791" s="36"/>
      <c r="K791" s="374" t="s">
        <v>294</v>
      </c>
      <c r="L791" s="375" t="s">
        <v>291</v>
      </c>
      <c r="M791" s="362" t="s">
        <v>1512</v>
      </c>
      <c r="N791" s="41">
        <v>1</v>
      </c>
      <c r="O791" s="41">
        <v>1</v>
      </c>
      <c r="P791" s="50"/>
      <c r="Q791" s="41">
        <v>1</v>
      </c>
      <c r="R791" s="36"/>
      <c r="S791" s="41">
        <v>1</v>
      </c>
      <c r="T791" s="36"/>
      <c r="U791" s="41">
        <v>1</v>
      </c>
      <c r="V791" s="36"/>
      <c r="W791" s="41">
        <v>1</v>
      </c>
      <c r="X791" s="36"/>
      <c r="Y791" s="41">
        <v>1</v>
      </c>
      <c r="Z791" s="37"/>
      <c r="AA791" s="52"/>
      <c r="AB791" s="84"/>
      <c r="AC791" s="50"/>
      <c r="AD791" s="51"/>
      <c r="AE791" s="52"/>
      <c r="AF791" s="36"/>
    </row>
    <row r="792" spans="2:32" x14ac:dyDescent="0.3">
      <c r="B792" s="36"/>
      <c r="C792" s="36"/>
      <c r="E792" s="33"/>
      <c r="F792" s="33"/>
      <c r="G792" s="33"/>
      <c r="H792" s="33"/>
      <c r="I792" s="33"/>
      <c r="J792" s="36"/>
      <c r="K792" s="374" t="s">
        <v>295</v>
      </c>
      <c r="L792" s="375" t="s">
        <v>291</v>
      </c>
      <c r="M792" s="384" t="s">
        <v>861</v>
      </c>
      <c r="N792" s="36"/>
      <c r="O792" s="36"/>
      <c r="P792" s="50"/>
      <c r="Q792" s="36"/>
      <c r="R792" s="36"/>
      <c r="S792" s="36"/>
      <c r="T792" s="36"/>
      <c r="U792" s="36"/>
      <c r="V792" s="36"/>
      <c r="W792" s="36"/>
      <c r="X792" s="36"/>
      <c r="Y792" s="36"/>
      <c r="Z792" s="37"/>
      <c r="AA792" s="52"/>
      <c r="AB792" s="84"/>
      <c r="AC792" s="50"/>
      <c r="AD792" s="51"/>
      <c r="AE792" s="52"/>
      <c r="AF792" s="36"/>
    </row>
    <row r="793" spans="2:32" x14ac:dyDescent="0.3">
      <c r="B793" s="92"/>
      <c r="C793" s="92"/>
      <c r="D793" s="445"/>
      <c r="E793" s="91"/>
      <c r="F793" s="91"/>
      <c r="G793" s="91"/>
      <c r="H793" s="91"/>
      <c r="I793" s="91"/>
      <c r="J793" s="92"/>
      <c r="K793" s="377" t="s">
        <v>297</v>
      </c>
      <c r="L793" s="378" t="s">
        <v>291</v>
      </c>
      <c r="M793" s="385" t="s">
        <v>869</v>
      </c>
      <c r="N793" s="92"/>
      <c r="O793" s="92"/>
      <c r="P793" s="93"/>
      <c r="Q793" s="92"/>
      <c r="R793" s="92"/>
      <c r="S793" s="92"/>
      <c r="T793" s="92"/>
      <c r="U793" s="92"/>
      <c r="V793" s="92"/>
      <c r="W793" s="92"/>
      <c r="X793" s="92"/>
      <c r="Y793" s="92"/>
      <c r="Z793" s="101"/>
      <c r="AA793" s="95"/>
      <c r="AB793" s="414"/>
      <c r="AC793" s="93"/>
      <c r="AD793" s="94"/>
      <c r="AE793" s="95"/>
      <c r="AF793" s="92"/>
    </row>
    <row r="794" spans="2:32" x14ac:dyDescent="0.3">
      <c r="B794" s="36"/>
      <c r="C794" s="36"/>
      <c r="E794" s="33"/>
      <c r="F794" s="33"/>
      <c r="G794" s="33"/>
      <c r="H794" s="33"/>
      <c r="I794" s="33"/>
      <c r="J794" s="36"/>
      <c r="K794" s="37"/>
      <c r="L794" s="375"/>
      <c r="M794" s="362"/>
      <c r="N794" s="36"/>
      <c r="O794" s="36"/>
      <c r="P794" s="50"/>
      <c r="Q794" s="36"/>
      <c r="R794" s="36"/>
      <c r="S794" s="36"/>
      <c r="T794" s="36"/>
      <c r="U794" s="36"/>
      <c r="V794" s="36"/>
      <c r="W794" s="36"/>
      <c r="X794" s="36"/>
      <c r="Y794" s="36"/>
      <c r="Z794" s="37"/>
      <c r="AA794" s="52"/>
      <c r="AB794" s="84"/>
      <c r="AC794" s="50"/>
      <c r="AD794" s="51"/>
      <c r="AE794" s="52"/>
      <c r="AF794" s="36"/>
    </row>
    <row r="795" spans="2:32" x14ac:dyDescent="0.3">
      <c r="B795" s="36"/>
      <c r="C795" s="36"/>
      <c r="E795" s="33">
        <v>1</v>
      </c>
      <c r="F795" s="70" t="s">
        <v>131</v>
      </c>
      <c r="G795" s="70" t="s">
        <v>131</v>
      </c>
      <c r="H795" s="33">
        <v>22</v>
      </c>
      <c r="I795" s="34">
        <v>7</v>
      </c>
      <c r="J795" s="36" t="s">
        <v>221</v>
      </c>
      <c r="K795" s="374" t="s">
        <v>290</v>
      </c>
      <c r="L795" s="375" t="s">
        <v>291</v>
      </c>
      <c r="M795" s="375" t="s">
        <v>292</v>
      </c>
      <c r="N795" s="36" t="s">
        <v>301</v>
      </c>
      <c r="O795" s="36" t="s">
        <v>301</v>
      </c>
      <c r="P795" s="50">
        <v>29158000</v>
      </c>
      <c r="Q795" s="36" t="s">
        <v>301</v>
      </c>
      <c r="R795" s="431">
        <f>P795+(P795*10%)</f>
        <v>32073800</v>
      </c>
      <c r="S795" s="36" t="s">
        <v>301</v>
      </c>
      <c r="T795" s="431">
        <f>R795+(R795*10%)</f>
        <v>35281180</v>
      </c>
      <c r="U795" s="36" t="s">
        <v>301</v>
      </c>
      <c r="V795" s="431">
        <f>T795+(T795*10%)</f>
        <v>38809298</v>
      </c>
      <c r="W795" s="36" t="s">
        <v>301</v>
      </c>
      <c r="X795" s="431">
        <f>V795+(V795*10%)</f>
        <v>42690227.799999997</v>
      </c>
      <c r="Y795" s="36" t="s">
        <v>301</v>
      </c>
      <c r="Z795" s="431">
        <f>X795+V795+T795+R795+P795</f>
        <v>178012505.80000001</v>
      </c>
      <c r="AA795" s="52" t="str">
        <f>AA781</f>
        <v>Dinas Dikpora</v>
      </c>
      <c r="AB795" s="50"/>
      <c r="AC795" s="50"/>
      <c r="AD795" s="51"/>
      <c r="AE795" s="52"/>
      <c r="AF795" s="36" t="s">
        <v>148</v>
      </c>
    </row>
    <row r="796" spans="2:32" ht="28.5" x14ac:dyDescent="0.3">
      <c r="B796" s="36"/>
      <c r="C796" s="36"/>
      <c r="E796" s="33"/>
      <c r="F796" s="33"/>
      <c r="G796" s="33"/>
      <c r="H796" s="33"/>
      <c r="I796" s="33"/>
      <c r="J796" s="36"/>
      <c r="K796" s="374" t="s">
        <v>293</v>
      </c>
      <c r="L796" s="375" t="s">
        <v>291</v>
      </c>
      <c r="M796" s="362" t="s">
        <v>1350</v>
      </c>
      <c r="N796" s="36" t="s">
        <v>146</v>
      </c>
      <c r="O796" s="36" t="s">
        <v>146</v>
      </c>
      <c r="P796" s="50"/>
      <c r="Q796" s="36" t="s">
        <v>146</v>
      </c>
      <c r="R796" s="36"/>
      <c r="S796" s="36" t="s">
        <v>146</v>
      </c>
      <c r="T796" s="36"/>
      <c r="U796" s="36" t="s">
        <v>146</v>
      </c>
      <c r="V796" s="36"/>
      <c r="W796" s="36" t="s">
        <v>146</v>
      </c>
      <c r="X796" s="36"/>
      <c r="Y796" s="36" t="s">
        <v>146</v>
      </c>
      <c r="Z796" s="37"/>
      <c r="AA796" s="52"/>
      <c r="AB796" s="50"/>
      <c r="AC796" s="50"/>
      <c r="AD796" s="51"/>
      <c r="AE796" s="52"/>
      <c r="AF796" s="36"/>
    </row>
    <row r="797" spans="2:32" ht="28.5" x14ac:dyDescent="0.3">
      <c r="B797" s="36"/>
      <c r="C797" s="36"/>
      <c r="E797" s="33"/>
      <c r="F797" s="33"/>
      <c r="G797" s="33"/>
      <c r="H797" s="33"/>
      <c r="I797" s="33"/>
      <c r="J797" s="36"/>
      <c r="K797" s="374" t="s">
        <v>294</v>
      </c>
      <c r="L797" s="375" t="s">
        <v>291</v>
      </c>
      <c r="M797" s="362" t="s">
        <v>1513</v>
      </c>
      <c r="N797" s="41">
        <v>1</v>
      </c>
      <c r="O797" s="41">
        <v>1</v>
      </c>
      <c r="P797" s="50"/>
      <c r="Q797" s="41">
        <v>1</v>
      </c>
      <c r="R797" s="36"/>
      <c r="S797" s="41">
        <v>1</v>
      </c>
      <c r="T797" s="36"/>
      <c r="U797" s="41">
        <v>1</v>
      </c>
      <c r="V797" s="36"/>
      <c r="W797" s="41">
        <v>1</v>
      </c>
      <c r="X797" s="36"/>
      <c r="Y797" s="41">
        <v>1</v>
      </c>
      <c r="Z797" s="37"/>
      <c r="AA797" s="52"/>
      <c r="AB797" s="50"/>
      <c r="AC797" s="50"/>
      <c r="AD797" s="51"/>
      <c r="AE797" s="52"/>
      <c r="AF797" s="36"/>
    </row>
    <row r="798" spans="2:32" x14ac:dyDescent="0.3">
      <c r="B798" s="36"/>
      <c r="C798" s="36"/>
      <c r="E798" s="33"/>
      <c r="F798" s="33"/>
      <c r="G798" s="33"/>
      <c r="H798" s="33"/>
      <c r="I798" s="33"/>
      <c r="J798" s="36"/>
      <c r="K798" s="374" t="s">
        <v>295</v>
      </c>
      <c r="L798" s="375" t="s">
        <v>291</v>
      </c>
      <c r="M798" s="384" t="s">
        <v>1514</v>
      </c>
      <c r="N798" s="36"/>
      <c r="O798" s="36"/>
      <c r="P798" s="50"/>
      <c r="Q798" s="36"/>
      <c r="R798" s="36"/>
      <c r="S798" s="36"/>
      <c r="T798" s="36"/>
      <c r="U798" s="36"/>
      <c r="V798" s="36"/>
      <c r="W798" s="36"/>
      <c r="X798" s="36"/>
      <c r="Y798" s="36"/>
      <c r="Z798" s="37"/>
      <c r="AA798" s="52"/>
      <c r="AB798" s="50"/>
      <c r="AC798" s="50"/>
      <c r="AD798" s="51"/>
      <c r="AE798" s="52"/>
      <c r="AF798" s="36"/>
    </row>
    <row r="799" spans="2:32" x14ac:dyDescent="0.3">
      <c r="B799" s="92"/>
      <c r="C799" s="92"/>
      <c r="D799" s="445"/>
      <c r="E799" s="91"/>
      <c r="F799" s="91"/>
      <c r="G799" s="91"/>
      <c r="H799" s="91"/>
      <c r="I799" s="91"/>
      <c r="J799" s="92"/>
      <c r="K799" s="377" t="s">
        <v>297</v>
      </c>
      <c r="L799" s="378" t="s">
        <v>291</v>
      </c>
      <c r="M799" s="385" t="s">
        <v>861</v>
      </c>
      <c r="N799" s="92"/>
      <c r="O799" s="92"/>
      <c r="P799" s="93"/>
      <c r="Q799" s="92"/>
      <c r="R799" s="92"/>
      <c r="S799" s="92"/>
      <c r="T799" s="92"/>
      <c r="U799" s="92"/>
      <c r="V799" s="92"/>
      <c r="W799" s="92"/>
      <c r="X799" s="92"/>
      <c r="Y799" s="92"/>
      <c r="Z799" s="101"/>
      <c r="AA799" s="95"/>
      <c r="AB799" s="93"/>
      <c r="AC799" s="93"/>
      <c r="AD799" s="94"/>
      <c r="AE799" s="95"/>
      <c r="AF799" s="92"/>
    </row>
    <row r="800" spans="2:32" x14ac:dyDescent="0.3">
      <c r="B800" s="36"/>
      <c r="C800" s="36"/>
      <c r="E800" s="33"/>
      <c r="F800" s="33"/>
      <c r="G800" s="33"/>
      <c r="H800" s="33"/>
      <c r="I800" s="33"/>
      <c r="J800" s="36"/>
      <c r="K800" s="37"/>
      <c r="L800" s="46"/>
      <c r="M800" s="362"/>
      <c r="N800" s="36"/>
      <c r="O800" s="36"/>
      <c r="P800" s="50"/>
      <c r="Q800" s="36"/>
      <c r="R800" s="36"/>
      <c r="S800" s="36"/>
      <c r="T800" s="36"/>
      <c r="U800" s="36"/>
      <c r="V800" s="36"/>
      <c r="W800" s="36"/>
      <c r="X800" s="36"/>
      <c r="Y800" s="36"/>
      <c r="Z800" s="37"/>
      <c r="AA800" s="52"/>
      <c r="AB800" s="50"/>
      <c r="AC800" s="50"/>
      <c r="AD800" s="51"/>
      <c r="AE800" s="52"/>
      <c r="AF800" s="36"/>
    </row>
    <row r="801" spans="2:32" x14ac:dyDescent="0.3">
      <c r="B801" s="36"/>
      <c r="C801" s="36"/>
      <c r="E801" s="33">
        <v>1</v>
      </c>
      <c r="F801" s="70" t="s">
        <v>131</v>
      </c>
      <c r="G801" s="70" t="s">
        <v>131</v>
      </c>
      <c r="H801" s="33">
        <v>22</v>
      </c>
      <c r="I801" s="34">
        <v>8</v>
      </c>
      <c r="J801" s="36" t="s">
        <v>1077</v>
      </c>
      <c r="K801" s="374" t="s">
        <v>290</v>
      </c>
      <c r="L801" s="375" t="s">
        <v>291</v>
      </c>
      <c r="M801" s="375" t="s">
        <v>292</v>
      </c>
      <c r="N801" s="36" t="s">
        <v>301</v>
      </c>
      <c r="O801" s="36" t="s">
        <v>301</v>
      </c>
      <c r="P801" s="50">
        <v>5225000</v>
      </c>
      <c r="Q801" s="36" t="s">
        <v>301</v>
      </c>
      <c r="R801" s="431">
        <f>P801+(P801*10%)</f>
        <v>5747500</v>
      </c>
      <c r="S801" s="36" t="s">
        <v>301</v>
      </c>
      <c r="T801" s="431">
        <f>R801+(R801*10%)</f>
        <v>6322250</v>
      </c>
      <c r="U801" s="36" t="s">
        <v>301</v>
      </c>
      <c r="V801" s="431">
        <f>T801+(T801*10%)</f>
        <v>6954475</v>
      </c>
      <c r="W801" s="36" t="s">
        <v>301</v>
      </c>
      <c r="X801" s="431">
        <f>V801+(V801*10%)</f>
        <v>7649922.5</v>
      </c>
      <c r="Y801" s="36" t="s">
        <v>301</v>
      </c>
      <c r="Z801" s="431">
        <f>X801+V801+T801+R801+P801</f>
        <v>31899147.5</v>
      </c>
      <c r="AA801" s="52" t="str">
        <f>AA795</f>
        <v>Dinas Dikpora</v>
      </c>
      <c r="AB801" s="50"/>
      <c r="AC801" s="50"/>
      <c r="AD801" s="51"/>
      <c r="AE801" s="52"/>
      <c r="AF801" s="36" t="s">
        <v>75</v>
      </c>
    </row>
    <row r="802" spans="2:32" ht="28.5" x14ac:dyDescent="0.3">
      <c r="B802" s="36"/>
      <c r="C802" s="36"/>
      <c r="E802" s="33"/>
      <c r="F802" s="33"/>
      <c r="G802" s="33"/>
      <c r="H802" s="33"/>
      <c r="I802" s="33"/>
      <c r="J802" s="36"/>
      <c r="K802" s="374" t="s">
        <v>293</v>
      </c>
      <c r="L802" s="375" t="s">
        <v>291</v>
      </c>
      <c r="M802" s="362" t="s">
        <v>1351</v>
      </c>
      <c r="N802" s="36" t="s">
        <v>837</v>
      </c>
      <c r="O802" s="36" t="s">
        <v>837</v>
      </c>
      <c r="P802" s="50"/>
      <c r="Q802" s="36" t="s">
        <v>837</v>
      </c>
      <c r="R802" s="36"/>
      <c r="S802" s="36" t="s">
        <v>837</v>
      </c>
      <c r="T802" s="36"/>
      <c r="U802" s="36" t="s">
        <v>837</v>
      </c>
      <c r="V802" s="36"/>
      <c r="W802" s="36" t="s">
        <v>837</v>
      </c>
      <c r="X802" s="36"/>
      <c r="Y802" s="36" t="s">
        <v>837</v>
      </c>
      <c r="Z802" s="37"/>
      <c r="AA802" s="52"/>
      <c r="AB802" s="50"/>
      <c r="AC802" s="50"/>
      <c r="AD802" s="51"/>
      <c r="AE802" s="52"/>
      <c r="AF802" s="36"/>
    </row>
    <row r="803" spans="2:32" ht="28.5" x14ac:dyDescent="0.3">
      <c r="B803" s="36"/>
      <c r="C803" s="36"/>
      <c r="E803" s="33"/>
      <c r="F803" s="33"/>
      <c r="G803" s="33"/>
      <c r="H803" s="33"/>
      <c r="I803" s="33"/>
      <c r="J803" s="36"/>
      <c r="K803" s="374" t="s">
        <v>294</v>
      </c>
      <c r="L803" s="375" t="s">
        <v>291</v>
      </c>
      <c r="M803" s="362" t="s">
        <v>1515</v>
      </c>
      <c r="N803" s="36"/>
      <c r="O803" s="36"/>
      <c r="P803" s="50"/>
      <c r="Q803" s="36"/>
      <c r="R803" s="36"/>
      <c r="S803" s="36"/>
      <c r="T803" s="36"/>
      <c r="U803" s="36"/>
      <c r="V803" s="36"/>
      <c r="W803" s="36"/>
      <c r="X803" s="36"/>
      <c r="Y803" s="36"/>
      <c r="Z803" s="37"/>
      <c r="AA803" s="52"/>
      <c r="AB803" s="50"/>
      <c r="AC803" s="50"/>
      <c r="AD803" s="51"/>
      <c r="AE803" s="52"/>
      <c r="AF803" s="36"/>
    </row>
    <row r="804" spans="2:32" x14ac:dyDescent="0.3">
      <c r="B804" s="36"/>
      <c r="C804" s="36"/>
      <c r="E804" s="33"/>
      <c r="F804" s="33"/>
      <c r="G804" s="33"/>
      <c r="H804" s="33"/>
      <c r="I804" s="33"/>
      <c r="J804" s="36"/>
      <c r="K804" s="374" t="s">
        <v>295</v>
      </c>
      <c r="L804" s="375" t="s">
        <v>291</v>
      </c>
      <c r="M804" s="384" t="s">
        <v>1514</v>
      </c>
      <c r="N804" s="36"/>
      <c r="O804" s="36"/>
      <c r="P804" s="50"/>
      <c r="Q804" s="36"/>
      <c r="R804" s="36"/>
      <c r="S804" s="36"/>
      <c r="T804" s="36"/>
      <c r="U804" s="36"/>
      <c r="V804" s="36"/>
      <c r="W804" s="36"/>
      <c r="X804" s="36"/>
      <c r="Y804" s="36"/>
      <c r="Z804" s="37"/>
      <c r="AA804" s="52"/>
      <c r="AB804" s="50"/>
      <c r="AC804" s="50"/>
      <c r="AD804" s="51"/>
      <c r="AE804" s="52"/>
      <c r="AF804" s="36"/>
    </row>
    <row r="805" spans="2:32" x14ac:dyDescent="0.3">
      <c r="B805" s="92"/>
      <c r="C805" s="92"/>
      <c r="D805" s="445"/>
      <c r="E805" s="91"/>
      <c r="F805" s="91"/>
      <c r="G805" s="91"/>
      <c r="H805" s="91"/>
      <c r="I805" s="91"/>
      <c r="J805" s="92"/>
      <c r="K805" s="377" t="s">
        <v>297</v>
      </c>
      <c r="L805" s="378" t="s">
        <v>291</v>
      </c>
      <c r="M805" s="385" t="s">
        <v>861</v>
      </c>
      <c r="N805" s="92"/>
      <c r="O805" s="92"/>
      <c r="P805" s="93"/>
      <c r="Q805" s="92"/>
      <c r="R805" s="92"/>
      <c r="S805" s="92"/>
      <c r="T805" s="92"/>
      <c r="U805" s="92"/>
      <c r="V805" s="92"/>
      <c r="W805" s="92"/>
      <c r="X805" s="92"/>
      <c r="Y805" s="92"/>
      <c r="Z805" s="101"/>
      <c r="AA805" s="95"/>
      <c r="AB805" s="93"/>
      <c r="AC805" s="93"/>
      <c r="AD805" s="94"/>
      <c r="AE805" s="95"/>
      <c r="AF805" s="92"/>
    </row>
    <row r="806" spans="2:32" x14ac:dyDescent="0.3">
      <c r="B806" s="36"/>
      <c r="C806" s="36"/>
      <c r="E806" s="33"/>
      <c r="F806" s="33"/>
      <c r="G806" s="33"/>
      <c r="H806" s="33"/>
      <c r="I806" s="33"/>
      <c r="J806" s="36"/>
      <c r="K806" s="37"/>
      <c r="L806" s="46"/>
      <c r="M806" s="362"/>
      <c r="N806" s="36"/>
      <c r="O806" s="36"/>
      <c r="P806" s="50"/>
      <c r="Q806" s="36"/>
      <c r="R806" s="36"/>
      <c r="S806" s="36"/>
      <c r="T806" s="36"/>
      <c r="U806" s="36"/>
      <c r="V806" s="36"/>
      <c r="W806" s="36"/>
      <c r="X806" s="36"/>
      <c r="Y806" s="36"/>
      <c r="Z806" s="37"/>
      <c r="AA806" s="52"/>
      <c r="AB806" s="50"/>
      <c r="AC806" s="50"/>
      <c r="AD806" s="51"/>
      <c r="AE806" s="52"/>
      <c r="AF806" s="36"/>
    </row>
    <row r="807" spans="2:32" ht="28.5" x14ac:dyDescent="0.3">
      <c r="B807" s="36"/>
      <c r="C807" s="36"/>
      <c r="E807" s="33">
        <v>1</v>
      </c>
      <c r="F807" s="70" t="s">
        <v>131</v>
      </c>
      <c r="G807" s="70" t="s">
        <v>131</v>
      </c>
      <c r="H807" s="33">
        <v>22</v>
      </c>
      <c r="I807" s="34">
        <v>9</v>
      </c>
      <c r="J807" s="36" t="s">
        <v>222</v>
      </c>
      <c r="K807" s="374" t="s">
        <v>290</v>
      </c>
      <c r="L807" s="375" t="s">
        <v>291</v>
      </c>
      <c r="M807" s="375" t="s">
        <v>292</v>
      </c>
      <c r="N807" s="36" t="s">
        <v>301</v>
      </c>
      <c r="O807" s="36" t="s">
        <v>301</v>
      </c>
      <c r="P807" s="50">
        <v>10747500</v>
      </c>
      <c r="Q807" s="36" t="s">
        <v>301</v>
      </c>
      <c r="R807" s="431">
        <f>P807+(P807*10%)</f>
        <v>11822250</v>
      </c>
      <c r="S807" s="36" t="s">
        <v>301</v>
      </c>
      <c r="T807" s="431">
        <f>R807+(R807*10%)</f>
        <v>13004475</v>
      </c>
      <c r="U807" s="36" t="s">
        <v>301</v>
      </c>
      <c r="V807" s="431">
        <f>T807+(T807*10%)</f>
        <v>14304922.5</v>
      </c>
      <c r="W807" s="36" t="s">
        <v>301</v>
      </c>
      <c r="X807" s="431">
        <f>V807+(V807*10%)</f>
        <v>15735414.75</v>
      </c>
      <c r="Y807" s="36" t="s">
        <v>301</v>
      </c>
      <c r="Z807" s="431">
        <f>X807+V807+T807+R807+P807</f>
        <v>65614562.25</v>
      </c>
      <c r="AA807" s="52" t="str">
        <f>AA801</f>
        <v>Dinas Dikpora</v>
      </c>
      <c r="AB807" s="50"/>
      <c r="AC807" s="50"/>
      <c r="AD807" s="51"/>
      <c r="AE807" s="52"/>
      <c r="AF807" s="36" t="s">
        <v>75</v>
      </c>
    </row>
    <row r="808" spans="2:32" ht="28.5" x14ac:dyDescent="0.3">
      <c r="B808" s="36"/>
      <c r="C808" s="36"/>
      <c r="E808" s="33"/>
      <c r="F808" s="33"/>
      <c r="G808" s="33"/>
      <c r="H808" s="33"/>
      <c r="I808" s="33"/>
      <c r="J808" s="36"/>
      <c r="K808" s="374" t="s">
        <v>293</v>
      </c>
      <c r="L808" s="375" t="s">
        <v>291</v>
      </c>
      <c r="M808" s="362" t="s">
        <v>1352</v>
      </c>
      <c r="N808" s="36" t="s">
        <v>853</v>
      </c>
      <c r="O808" s="36" t="s">
        <v>853</v>
      </c>
      <c r="P808" s="50"/>
      <c r="Q808" s="36" t="s">
        <v>853</v>
      </c>
      <c r="R808" s="36"/>
      <c r="S808" s="36" t="s">
        <v>853</v>
      </c>
      <c r="T808" s="36"/>
      <c r="U808" s="36" t="s">
        <v>853</v>
      </c>
      <c r="V808" s="36"/>
      <c r="W808" s="36" t="s">
        <v>853</v>
      </c>
      <c r="X808" s="36"/>
      <c r="Y808" s="36" t="s">
        <v>853</v>
      </c>
      <c r="Z808" s="37"/>
      <c r="AA808" s="52"/>
      <c r="AB808" s="50">
        <v>0</v>
      </c>
      <c r="AC808" s="50">
        <f>AB808</f>
        <v>0</v>
      </c>
      <c r="AD808" s="51" t="str">
        <f>AD790</f>
        <v>Dinas Dikpora</v>
      </c>
      <c r="AE808" s="52" t="str">
        <f>AE790</f>
        <v>Sedang Berjalan</v>
      </c>
      <c r="AF808" s="36"/>
    </row>
    <row r="809" spans="2:32" ht="42.75" x14ac:dyDescent="0.3">
      <c r="B809" s="36"/>
      <c r="C809" s="36"/>
      <c r="E809" s="33"/>
      <c r="F809" s="33"/>
      <c r="G809" s="33"/>
      <c r="H809" s="33"/>
      <c r="I809" s="33"/>
      <c r="J809" s="36"/>
      <c r="K809" s="374" t="s">
        <v>294</v>
      </c>
      <c r="L809" s="375" t="s">
        <v>291</v>
      </c>
      <c r="M809" s="362" t="s">
        <v>1516</v>
      </c>
      <c r="N809" s="41">
        <v>1</v>
      </c>
      <c r="O809" s="41">
        <v>1</v>
      </c>
      <c r="P809" s="50"/>
      <c r="Q809" s="41">
        <v>1</v>
      </c>
      <c r="R809" s="36"/>
      <c r="S809" s="41">
        <v>1</v>
      </c>
      <c r="T809" s="36"/>
      <c r="U809" s="41">
        <v>1</v>
      </c>
      <c r="V809" s="36"/>
      <c r="W809" s="41">
        <v>1</v>
      </c>
      <c r="X809" s="36"/>
      <c r="Y809" s="41">
        <v>1</v>
      </c>
      <c r="Z809" s="37"/>
      <c r="AA809" s="52"/>
      <c r="AB809" s="50"/>
      <c r="AC809" s="50"/>
      <c r="AD809" s="51"/>
      <c r="AE809" s="52"/>
      <c r="AF809" s="36"/>
    </row>
    <row r="810" spans="2:32" ht="28.5" x14ac:dyDescent="0.3">
      <c r="B810" s="36"/>
      <c r="C810" s="36"/>
      <c r="E810" s="33"/>
      <c r="F810" s="33"/>
      <c r="G810" s="33"/>
      <c r="H810" s="33"/>
      <c r="I810" s="33"/>
      <c r="J810" s="36"/>
      <c r="K810" s="374" t="s">
        <v>295</v>
      </c>
      <c r="L810" s="375" t="s">
        <v>291</v>
      </c>
      <c r="M810" s="400" t="s">
        <v>885</v>
      </c>
      <c r="N810" s="36"/>
      <c r="O810" s="36"/>
      <c r="P810" s="50"/>
      <c r="Q810" s="36"/>
      <c r="R810" s="36"/>
      <c r="S810" s="36"/>
      <c r="T810" s="36"/>
      <c r="U810" s="36"/>
      <c r="V810" s="36"/>
      <c r="W810" s="36"/>
      <c r="X810" s="36"/>
      <c r="Y810" s="36"/>
      <c r="Z810" s="37"/>
      <c r="AA810" s="52"/>
      <c r="AB810" s="50"/>
      <c r="AC810" s="50"/>
      <c r="AD810" s="51"/>
      <c r="AE810" s="52"/>
      <c r="AF810" s="36"/>
    </row>
    <row r="811" spans="2:32" x14ac:dyDescent="0.3">
      <c r="B811" s="92"/>
      <c r="C811" s="92"/>
      <c r="D811" s="445"/>
      <c r="E811" s="91"/>
      <c r="F811" s="91"/>
      <c r="G811" s="91"/>
      <c r="H811" s="91"/>
      <c r="I811" s="91"/>
      <c r="J811" s="92"/>
      <c r="K811" s="377" t="s">
        <v>297</v>
      </c>
      <c r="L811" s="378" t="s">
        <v>291</v>
      </c>
      <c r="M811" s="385" t="s">
        <v>861</v>
      </c>
      <c r="N811" s="92"/>
      <c r="O811" s="92"/>
      <c r="P811" s="93"/>
      <c r="Q811" s="92"/>
      <c r="R811" s="92"/>
      <c r="S811" s="92"/>
      <c r="T811" s="92"/>
      <c r="U811" s="92"/>
      <c r="V811" s="92"/>
      <c r="W811" s="92"/>
      <c r="X811" s="92"/>
      <c r="Y811" s="92"/>
      <c r="Z811" s="101"/>
      <c r="AA811" s="95"/>
      <c r="AB811" s="93"/>
      <c r="AC811" s="93"/>
      <c r="AD811" s="94"/>
      <c r="AE811" s="95"/>
      <c r="AF811" s="92"/>
    </row>
    <row r="812" spans="2:32" x14ac:dyDescent="0.3">
      <c r="B812" s="36"/>
      <c r="C812" s="36"/>
      <c r="E812" s="33"/>
      <c r="F812" s="33"/>
      <c r="G812" s="33"/>
      <c r="H812" s="33"/>
      <c r="I812" s="33"/>
      <c r="J812" s="36"/>
      <c r="K812" s="37"/>
      <c r="L812" s="46"/>
      <c r="M812" s="362"/>
      <c r="N812" s="36"/>
      <c r="O812" s="36"/>
      <c r="P812" s="50"/>
      <c r="Q812" s="36"/>
      <c r="R812" s="36"/>
      <c r="S812" s="36"/>
      <c r="T812" s="36"/>
      <c r="U812" s="36"/>
      <c r="V812" s="36"/>
      <c r="W812" s="36"/>
      <c r="X812" s="36"/>
      <c r="Y812" s="36"/>
      <c r="Z812" s="37"/>
      <c r="AA812" s="52"/>
      <c r="AB812" s="50"/>
      <c r="AC812" s="50"/>
      <c r="AD812" s="51"/>
      <c r="AE812" s="52"/>
      <c r="AF812" s="36"/>
    </row>
    <row r="813" spans="2:32" x14ac:dyDescent="0.3">
      <c r="B813" s="36"/>
      <c r="C813" s="36"/>
      <c r="E813" s="33"/>
      <c r="F813" s="33"/>
      <c r="G813" s="33"/>
      <c r="H813" s="33"/>
      <c r="I813" s="26"/>
      <c r="J813" s="27" t="s">
        <v>60</v>
      </c>
      <c r="K813" s="35"/>
      <c r="L813" s="39"/>
      <c r="M813" s="362"/>
      <c r="N813" s="36"/>
      <c r="O813" s="36"/>
      <c r="P813" s="82"/>
      <c r="Q813" s="36"/>
      <c r="R813" s="36"/>
      <c r="S813" s="36"/>
      <c r="T813" s="36"/>
      <c r="U813" s="36"/>
      <c r="V813" s="36"/>
      <c r="W813" s="36"/>
      <c r="X813" s="36"/>
      <c r="Y813" s="36"/>
      <c r="Z813" s="37"/>
      <c r="AA813" s="75"/>
      <c r="AB813" s="50"/>
      <c r="AC813" s="50"/>
      <c r="AD813" s="51"/>
      <c r="AE813" s="52"/>
      <c r="AF813" s="27"/>
    </row>
    <row r="814" spans="2:32" s="87" customFormat="1" ht="27" x14ac:dyDescent="0.25">
      <c r="B814" s="504" t="s">
        <v>1560</v>
      </c>
      <c r="C814" s="504" t="s">
        <v>1562</v>
      </c>
      <c r="D814" s="434"/>
      <c r="E814" s="26">
        <v>1</v>
      </c>
      <c r="F814" s="69" t="s">
        <v>131</v>
      </c>
      <c r="G814" s="69" t="s">
        <v>131</v>
      </c>
      <c r="H814" s="26">
        <v>23</v>
      </c>
      <c r="I814" s="26"/>
      <c r="J814" s="27" t="s">
        <v>223</v>
      </c>
      <c r="K814" s="496" t="s">
        <v>1353</v>
      </c>
      <c r="L814" s="497"/>
      <c r="M814" s="498"/>
      <c r="N814" s="372">
        <v>0.85</v>
      </c>
      <c r="O814" s="372">
        <v>0.85</v>
      </c>
      <c r="P814" s="82">
        <f t="shared" ref="P814:R814" si="30">SUM(P817:P859)</f>
        <v>5428089100</v>
      </c>
      <c r="Q814" s="372">
        <v>0.85</v>
      </c>
      <c r="R814" s="82">
        <f t="shared" si="30"/>
        <v>5970898010</v>
      </c>
      <c r="S814" s="372">
        <v>0.85</v>
      </c>
      <c r="T814" s="82">
        <f t="shared" ref="T814" si="31">SUM(T817:T859)</f>
        <v>6567987811</v>
      </c>
      <c r="U814" s="372">
        <v>0.85</v>
      </c>
      <c r="V814" s="82">
        <f t="shared" ref="V814" si="32">SUM(V817:V859)</f>
        <v>7224786592.1000004</v>
      </c>
      <c r="W814" s="372">
        <v>0.85</v>
      </c>
      <c r="X814" s="82">
        <f t="shared" ref="X814" si="33">SUM(X817:X859)</f>
        <v>7947265251.3099995</v>
      </c>
      <c r="Y814" s="372">
        <v>0.85</v>
      </c>
      <c r="Z814" s="430">
        <f>X814+V814+T814+R814+P814</f>
        <v>33139026764.41</v>
      </c>
      <c r="AA814" s="75"/>
      <c r="AB814" s="82">
        <v>108000</v>
      </c>
      <c r="AC814" s="82">
        <f>AB814+(AB814*10%)</f>
        <v>118800</v>
      </c>
      <c r="AD814" s="83" t="s">
        <v>66</v>
      </c>
      <c r="AE814" s="75" t="s">
        <v>81</v>
      </c>
      <c r="AF814" s="27" t="s">
        <v>189</v>
      </c>
    </row>
    <row r="815" spans="2:32" x14ac:dyDescent="0.3">
      <c r="B815" s="504"/>
      <c r="C815" s="504"/>
      <c r="E815" s="33"/>
      <c r="F815" s="70"/>
      <c r="G815" s="70"/>
      <c r="H815" s="33"/>
      <c r="I815" s="26"/>
      <c r="J815" s="27"/>
      <c r="K815" s="35"/>
      <c r="L815" s="39"/>
      <c r="M815" s="362"/>
      <c r="N815" s="372"/>
      <c r="O815" s="372"/>
      <c r="P815" s="82"/>
      <c r="Q815" s="372"/>
      <c r="R815" s="36"/>
      <c r="S815" s="372"/>
      <c r="T815" s="36"/>
      <c r="U815" s="372"/>
      <c r="V815" s="36"/>
      <c r="W815" s="372"/>
      <c r="X815" s="36"/>
      <c r="Y815" s="372"/>
      <c r="Z815" s="37"/>
      <c r="AA815" s="75"/>
      <c r="AB815" s="50"/>
      <c r="AC815" s="50"/>
      <c r="AD815" s="51"/>
      <c r="AE815" s="52"/>
      <c r="AF815" s="27"/>
    </row>
    <row r="816" spans="2:32" ht="28.5" x14ac:dyDescent="0.3">
      <c r="B816" s="504"/>
      <c r="C816" s="504"/>
      <c r="E816" s="33"/>
      <c r="F816" s="33"/>
      <c r="G816" s="33"/>
      <c r="H816" s="33"/>
      <c r="I816" s="26"/>
      <c r="J816" s="27" t="s">
        <v>63</v>
      </c>
      <c r="K816" s="35"/>
      <c r="L816" s="39"/>
      <c r="M816" s="361"/>
      <c r="N816" s="27"/>
      <c r="O816" s="27"/>
      <c r="P816" s="82"/>
      <c r="Q816" s="27"/>
      <c r="R816" s="36"/>
      <c r="S816" s="27"/>
      <c r="T816" s="36"/>
      <c r="U816" s="27"/>
      <c r="V816" s="36"/>
      <c r="W816" s="27"/>
      <c r="X816" s="36"/>
      <c r="Y816" s="27"/>
      <c r="Z816" s="37"/>
      <c r="AA816" s="75"/>
      <c r="AB816" s="50">
        <v>40000</v>
      </c>
      <c r="AC816" s="50">
        <f>AB816</f>
        <v>40000</v>
      </c>
      <c r="AD816" s="51" t="str">
        <f>AD808</f>
        <v>Dinas Dikpora</v>
      </c>
      <c r="AE816" s="52" t="str">
        <f>AE788</f>
        <v>Sedang berjalan</v>
      </c>
      <c r="AF816" s="27"/>
    </row>
    <row r="817" spans="2:32" x14ac:dyDescent="0.3">
      <c r="B817" s="504"/>
      <c r="C817" s="504"/>
      <c r="E817" s="33">
        <v>1</v>
      </c>
      <c r="F817" s="70" t="s">
        <v>131</v>
      </c>
      <c r="G817" s="70" t="s">
        <v>131</v>
      </c>
      <c r="H817" s="33">
        <v>23</v>
      </c>
      <c r="I817" s="34">
        <v>1</v>
      </c>
      <c r="J817" s="36" t="s">
        <v>224</v>
      </c>
      <c r="K817" s="374" t="s">
        <v>290</v>
      </c>
      <c r="L817" s="375" t="s">
        <v>291</v>
      </c>
      <c r="M817" s="375" t="s">
        <v>292</v>
      </c>
      <c r="N817" s="36" t="s">
        <v>301</v>
      </c>
      <c r="O817" s="36" t="s">
        <v>301</v>
      </c>
      <c r="P817" s="50">
        <v>2930870000</v>
      </c>
      <c r="Q817" s="36" t="s">
        <v>301</v>
      </c>
      <c r="R817" s="431">
        <f>P817+(P817*10%)</f>
        <v>3223957000</v>
      </c>
      <c r="S817" s="36" t="s">
        <v>301</v>
      </c>
      <c r="T817" s="431">
        <f>R817+(R817*10%)</f>
        <v>3546352700</v>
      </c>
      <c r="U817" s="36" t="s">
        <v>301</v>
      </c>
      <c r="V817" s="431">
        <f>T817+(T817*10%)</f>
        <v>3900987970</v>
      </c>
      <c r="W817" s="36" t="s">
        <v>301</v>
      </c>
      <c r="X817" s="431">
        <f>V817+(V817*10%)</f>
        <v>4291086767</v>
      </c>
      <c r="Y817" s="36" t="s">
        <v>301</v>
      </c>
      <c r="Z817" s="431">
        <f>X817+V817+T817+R817+P817</f>
        <v>17893254437</v>
      </c>
      <c r="AA817" s="52" t="str">
        <f>AA807</f>
        <v>Dinas Dikpora</v>
      </c>
      <c r="AB817" s="50"/>
      <c r="AC817" s="50"/>
      <c r="AD817" s="51"/>
      <c r="AE817" s="52"/>
      <c r="AF817" s="36" t="s">
        <v>195</v>
      </c>
    </row>
    <row r="818" spans="2:32" ht="42.75" x14ac:dyDescent="0.3">
      <c r="B818" s="504"/>
      <c r="C818" s="504"/>
      <c r="E818" s="33"/>
      <c r="F818" s="33"/>
      <c r="G818" s="33"/>
      <c r="H818" s="33"/>
      <c r="I818" s="33"/>
      <c r="J818" s="36"/>
      <c r="K818" s="374" t="s">
        <v>293</v>
      </c>
      <c r="L818" s="375" t="s">
        <v>291</v>
      </c>
      <c r="M818" s="362" t="s">
        <v>1354</v>
      </c>
      <c r="N818" s="36"/>
      <c r="O818" s="36"/>
      <c r="P818" s="50"/>
      <c r="Q818" s="36"/>
      <c r="R818" s="36"/>
      <c r="S818" s="36"/>
      <c r="T818" s="36"/>
      <c r="U818" s="36"/>
      <c r="V818" s="36"/>
      <c r="W818" s="36"/>
      <c r="X818" s="36"/>
      <c r="Y818" s="36"/>
      <c r="Z818" s="37"/>
      <c r="AA818" s="52"/>
      <c r="AB818" s="50">
        <f>49120</f>
        <v>49120</v>
      </c>
      <c r="AC818" s="50">
        <f>AB818+(AB818*10%)</f>
        <v>54032</v>
      </c>
      <c r="AD818" s="51" t="s">
        <v>66</v>
      </c>
      <c r="AE818" s="52" t="s">
        <v>81</v>
      </c>
      <c r="AF818" s="36"/>
    </row>
    <row r="819" spans="2:32" ht="28.5" x14ac:dyDescent="0.3">
      <c r="B819" s="504"/>
      <c r="C819" s="36"/>
      <c r="E819" s="33"/>
      <c r="F819" s="33"/>
      <c r="G819" s="33"/>
      <c r="H819" s="33"/>
      <c r="I819" s="33"/>
      <c r="J819" s="36"/>
      <c r="K819" s="37"/>
      <c r="L819" s="375" t="s">
        <v>291</v>
      </c>
      <c r="M819" s="362" t="s">
        <v>1355</v>
      </c>
      <c r="N819" s="36" t="s">
        <v>573</v>
      </c>
      <c r="O819" s="36" t="s">
        <v>573</v>
      </c>
      <c r="P819" s="50"/>
      <c r="Q819" s="36" t="s">
        <v>573</v>
      </c>
      <c r="R819" s="36"/>
      <c r="S819" s="36" t="s">
        <v>573</v>
      </c>
      <c r="T819" s="36"/>
      <c r="U819" s="36" t="s">
        <v>573</v>
      </c>
      <c r="V819" s="36"/>
      <c r="W819" s="36" t="s">
        <v>573</v>
      </c>
      <c r="X819" s="36"/>
      <c r="Y819" s="36" t="s">
        <v>573</v>
      </c>
      <c r="Z819" s="37"/>
      <c r="AA819" s="52"/>
      <c r="AB819" s="50">
        <v>49120</v>
      </c>
      <c r="AC819" s="50">
        <f>AB819+(AB819*10%)</f>
        <v>54032</v>
      </c>
      <c r="AD819" s="51" t="s">
        <v>66</v>
      </c>
      <c r="AE819" s="52" t="s">
        <v>81</v>
      </c>
      <c r="AF819" s="36"/>
    </row>
    <row r="820" spans="2:32" x14ac:dyDescent="0.3">
      <c r="B820" s="504"/>
      <c r="C820" s="36"/>
      <c r="E820" s="33"/>
      <c r="F820" s="33"/>
      <c r="G820" s="33"/>
      <c r="H820" s="33"/>
      <c r="I820" s="33"/>
      <c r="J820" s="36"/>
      <c r="K820" s="37"/>
      <c r="L820" s="375" t="s">
        <v>291</v>
      </c>
      <c r="M820" s="362" t="s">
        <v>807</v>
      </c>
      <c r="N820" s="36" t="s">
        <v>573</v>
      </c>
      <c r="O820" s="36" t="s">
        <v>573</v>
      </c>
      <c r="P820" s="50"/>
      <c r="Q820" s="36" t="s">
        <v>573</v>
      </c>
      <c r="R820" s="36"/>
      <c r="S820" s="36" t="s">
        <v>573</v>
      </c>
      <c r="T820" s="36"/>
      <c r="U820" s="36" t="s">
        <v>573</v>
      </c>
      <c r="V820" s="36"/>
      <c r="W820" s="36" t="s">
        <v>573</v>
      </c>
      <c r="X820" s="36"/>
      <c r="Y820" s="36" t="s">
        <v>573</v>
      </c>
      <c r="Z820" s="37"/>
      <c r="AA820" s="52"/>
      <c r="AB820" s="50"/>
      <c r="AC820" s="50"/>
      <c r="AD820" s="51"/>
      <c r="AE820" s="52"/>
      <c r="AF820" s="36"/>
    </row>
    <row r="821" spans="2:32" ht="42.75" x14ac:dyDescent="0.3">
      <c r="B821" s="504"/>
      <c r="C821" s="36"/>
      <c r="E821" s="33"/>
      <c r="F821" s="33"/>
      <c r="G821" s="33"/>
      <c r="H821" s="33"/>
      <c r="I821" s="33"/>
      <c r="J821" s="36"/>
      <c r="K821" s="374" t="s">
        <v>294</v>
      </c>
      <c r="L821" s="375" t="s">
        <v>291</v>
      </c>
      <c r="M821" s="362" t="s">
        <v>1517</v>
      </c>
      <c r="N821" s="41">
        <v>1</v>
      </c>
      <c r="O821" s="41">
        <v>1</v>
      </c>
      <c r="P821" s="50"/>
      <c r="Q821" s="41">
        <v>1</v>
      </c>
      <c r="R821" s="36"/>
      <c r="S821" s="41">
        <v>1</v>
      </c>
      <c r="T821" s="36"/>
      <c r="U821" s="41">
        <v>1</v>
      </c>
      <c r="V821" s="36"/>
      <c r="W821" s="41">
        <v>1</v>
      </c>
      <c r="X821" s="36"/>
      <c r="Y821" s="41">
        <v>1</v>
      </c>
      <c r="Z821" s="37"/>
      <c r="AA821" s="52"/>
      <c r="AB821" s="50"/>
      <c r="AC821" s="50"/>
      <c r="AD821" s="51"/>
      <c r="AE821" s="52"/>
      <c r="AF821" s="36"/>
    </row>
    <row r="822" spans="2:32" x14ac:dyDescent="0.3">
      <c r="B822" s="36"/>
      <c r="C822" s="36"/>
      <c r="E822" s="33"/>
      <c r="F822" s="33"/>
      <c r="G822" s="33"/>
      <c r="H822" s="33"/>
      <c r="I822" s="33"/>
      <c r="J822" s="36"/>
      <c r="K822" s="374" t="s">
        <v>295</v>
      </c>
      <c r="L822" s="375" t="s">
        <v>291</v>
      </c>
      <c r="M822" s="384" t="s">
        <v>1518</v>
      </c>
      <c r="N822" s="36"/>
      <c r="O822" s="36"/>
      <c r="P822" s="50"/>
      <c r="Q822" s="36"/>
      <c r="R822" s="36"/>
      <c r="S822" s="36"/>
      <c r="T822" s="36"/>
      <c r="U822" s="36"/>
      <c r="V822" s="36"/>
      <c r="W822" s="36"/>
      <c r="X822" s="36"/>
      <c r="Y822" s="36"/>
      <c r="Z822" s="37"/>
      <c r="AA822" s="52"/>
      <c r="AB822" s="50"/>
      <c r="AC822" s="50"/>
      <c r="AD822" s="51"/>
      <c r="AE822" s="52"/>
      <c r="AF822" s="36"/>
    </row>
    <row r="823" spans="2:32" x14ac:dyDescent="0.3">
      <c r="B823" s="92"/>
      <c r="C823" s="92"/>
      <c r="D823" s="445"/>
      <c r="E823" s="91"/>
      <c r="F823" s="91"/>
      <c r="G823" s="91"/>
      <c r="H823" s="91"/>
      <c r="I823" s="91"/>
      <c r="J823" s="92"/>
      <c r="K823" s="377" t="s">
        <v>297</v>
      </c>
      <c r="L823" s="378" t="s">
        <v>291</v>
      </c>
      <c r="M823" s="385" t="s">
        <v>1433</v>
      </c>
      <c r="N823" s="92"/>
      <c r="O823" s="92"/>
      <c r="P823" s="93"/>
      <c r="Q823" s="92"/>
      <c r="R823" s="92"/>
      <c r="S823" s="92"/>
      <c r="T823" s="92"/>
      <c r="U823" s="92"/>
      <c r="V823" s="92"/>
      <c r="W823" s="92"/>
      <c r="X823" s="92"/>
      <c r="Y823" s="92"/>
      <c r="Z823" s="101"/>
      <c r="AA823" s="95"/>
      <c r="AB823" s="93"/>
      <c r="AC823" s="93"/>
      <c r="AD823" s="94"/>
      <c r="AE823" s="95"/>
      <c r="AF823" s="92"/>
    </row>
    <row r="824" spans="2:32" x14ac:dyDescent="0.3">
      <c r="B824" s="36"/>
      <c r="C824" s="36"/>
      <c r="E824" s="33"/>
      <c r="F824" s="33"/>
      <c r="G824" s="33"/>
      <c r="H824" s="33"/>
      <c r="I824" s="33"/>
      <c r="J824" s="36"/>
      <c r="K824" s="37"/>
      <c r="L824" s="375"/>
      <c r="M824" s="362"/>
      <c r="N824" s="36"/>
      <c r="O824" s="36"/>
      <c r="P824" s="50"/>
      <c r="Q824" s="36"/>
      <c r="R824" s="36"/>
      <c r="S824" s="36"/>
      <c r="T824" s="36"/>
      <c r="U824" s="36"/>
      <c r="V824" s="36"/>
      <c r="W824" s="36"/>
      <c r="X824" s="36"/>
      <c r="Y824" s="36"/>
      <c r="Z824" s="37"/>
      <c r="AA824" s="52"/>
      <c r="AB824" s="50"/>
      <c r="AC824" s="50"/>
      <c r="AD824" s="51"/>
      <c r="AE824" s="52"/>
      <c r="AF824" s="36"/>
    </row>
    <row r="825" spans="2:32" s="32" customFormat="1" ht="28.5" x14ac:dyDescent="0.25">
      <c r="B825" s="27"/>
      <c r="C825" s="27"/>
      <c r="D825" s="434"/>
      <c r="E825" s="33">
        <v>1</v>
      </c>
      <c r="F825" s="70" t="s">
        <v>131</v>
      </c>
      <c r="G825" s="70" t="s">
        <v>131</v>
      </c>
      <c r="H825" s="33">
        <v>23</v>
      </c>
      <c r="I825" s="34">
        <v>2</v>
      </c>
      <c r="J825" s="36" t="s">
        <v>225</v>
      </c>
      <c r="K825" s="374" t="s">
        <v>290</v>
      </c>
      <c r="L825" s="375" t="s">
        <v>291</v>
      </c>
      <c r="M825" s="375" t="s">
        <v>292</v>
      </c>
      <c r="N825" s="36" t="s">
        <v>301</v>
      </c>
      <c r="O825" s="36" t="s">
        <v>301</v>
      </c>
      <c r="P825" s="50">
        <v>43880000</v>
      </c>
      <c r="Q825" s="36" t="s">
        <v>301</v>
      </c>
      <c r="R825" s="431">
        <f>P825+(P825*10%)</f>
        <v>48268000</v>
      </c>
      <c r="S825" s="36" t="s">
        <v>301</v>
      </c>
      <c r="T825" s="431">
        <f>R825+(R825*10%)</f>
        <v>53094800</v>
      </c>
      <c r="U825" s="36" t="s">
        <v>301</v>
      </c>
      <c r="V825" s="431">
        <f>T825+(T825*10%)</f>
        <v>58404280</v>
      </c>
      <c r="W825" s="36" t="s">
        <v>301</v>
      </c>
      <c r="X825" s="431">
        <f>V825+(V825*10%)</f>
        <v>64244708</v>
      </c>
      <c r="Y825" s="36" t="s">
        <v>301</v>
      </c>
      <c r="Z825" s="431">
        <f>X825+V825+T825+R825+P825</f>
        <v>267891788</v>
      </c>
      <c r="AA825" s="52" t="str">
        <f>AA817</f>
        <v>Dinas Dikpora</v>
      </c>
      <c r="AB825" s="82"/>
      <c r="AC825" s="82"/>
      <c r="AD825" s="83"/>
      <c r="AE825" s="75"/>
      <c r="AF825" s="36" t="s">
        <v>75</v>
      </c>
    </row>
    <row r="826" spans="2:32" s="32" customFormat="1" ht="28.5" x14ac:dyDescent="0.25">
      <c r="B826" s="36"/>
      <c r="C826" s="36"/>
      <c r="D826" s="434"/>
      <c r="E826" s="33"/>
      <c r="F826" s="33"/>
      <c r="G826" s="33"/>
      <c r="H826" s="33"/>
      <c r="I826" s="33"/>
      <c r="J826" s="36"/>
      <c r="K826" s="374" t="s">
        <v>293</v>
      </c>
      <c r="L826" s="375" t="s">
        <v>291</v>
      </c>
      <c r="M826" s="362" t="s">
        <v>1356</v>
      </c>
      <c r="N826" s="36" t="s">
        <v>573</v>
      </c>
      <c r="O826" s="36" t="s">
        <v>573</v>
      </c>
      <c r="P826" s="50"/>
      <c r="Q826" s="36" t="s">
        <v>573</v>
      </c>
      <c r="R826" s="27"/>
      <c r="S826" s="36" t="s">
        <v>573</v>
      </c>
      <c r="T826" s="27"/>
      <c r="U826" s="36" t="s">
        <v>573</v>
      </c>
      <c r="V826" s="27"/>
      <c r="W826" s="36" t="s">
        <v>573</v>
      </c>
      <c r="X826" s="27"/>
      <c r="Y826" s="36" t="s">
        <v>573</v>
      </c>
      <c r="Z826" s="35"/>
      <c r="AA826" s="52"/>
      <c r="AB826" s="82">
        <f>SUM(AB832:AB872)</f>
        <v>401322</v>
      </c>
      <c r="AC826" s="82">
        <f>SUM(AC832:AC872)</f>
        <v>446762.4</v>
      </c>
      <c r="AD826" s="83"/>
      <c r="AE826" s="75"/>
      <c r="AF826" s="36"/>
    </row>
    <row r="827" spans="2:32" s="32" customFormat="1" ht="42.75" x14ac:dyDescent="0.25">
      <c r="B827" s="36"/>
      <c r="C827" s="36"/>
      <c r="D827" s="434"/>
      <c r="E827" s="33"/>
      <c r="F827" s="33"/>
      <c r="G827" s="33"/>
      <c r="H827" s="33"/>
      <c r="I827" s="33"/>
      <c r="J827" s="36"/>
      <c r="K827" s="374" t="s">
        <v>294</v>
      </c>
      <c r="L827" s="375" t="s">
        <v>291</v>
      </c>
      <c r="M827" s="362" t="s">
        <v>1519</v>
      </c>
      <c r="N827" s="41">
        <v>1</v>
      </c>
      <c r="O827" s="41">
        <v>1</v>
      </c>
      <c r="P827" s="50"/>
      <c r="Q827" s="41">
        <v>1</v>
      </c>
      <c r="R827" s="27"/>
      <c r="S827" s="41">
        <v>1</v>
      </c>
      <c r="T827" s="27"/>
      <c r="U827" s="41">
        <v>1</v>
      </c>
      <c r="V827" s="27"/>
      <c r="W827" s="41">
        <v>1</v>
      </c>
      <c r="X827" s="27"/>
      <c r="Y827" s="41">
        <v>1</v>
      </c>
      <c r="Z827" s="35"/>
      <c r="AA827" s="52"/>
      <c r="AB827" s="82"/>
      <c r="AC827" s="82"/>
      <c r="AD827" s="83"/>
      <c r="AE827" s="75"/>
      <c r="AF827" s="36"/>
    </row>
    <row r="828" spans="2:32" s="32" customFormat="1" x14ac:dyDescent="0.3">
      <c r="B828" s="36"/>
      <c r="C828" s="36"/>
      <c r="D828" s="434"/>
      <c r="E828" s="33"/>
      <c r="F828" s="33"/>
      <c r="G828" s="33"/>
      <c r="H828" s="33"/>
      <c r="I828" s="33"/>
      <c r="J828" s="36"/>
      <c r="K828" s="374" t="s">
        <v>295</v>
      </c>
      <c r="L828" s="375" t="s">
        <v>291</v>
      </c>
      <c r="M828" s="384" t="s">
        <v>1520</v>
      </c>
      <c r="N828" s="36"/>
      <c r="O828" s="36"/>
      <c r="P828" s="50"/>
      <c r="Q828" s="36"/>
      <c r="R828" s="27"/>
      <c r="S828" s="36"/>
      <c r="T828" s="27"/>
      <c r="U828" s="36"/>
      <c r="V828" s="27"/>
      <c r="W828" s="36"/>
      <c r="X828" s="27"/>
      <c r="Y828" s="36"/>
      <c r="Z828" s="35"/>
      <c r="AA828" s="52"/>
      <c r="AB828" s="82"/>
      <c r="AC828" s="82"/>
      <c r="AD828" s="83"/>
      <c r="AE828" s="75"/>
      <c r="AF828" s="36"/>
    </row>
    <row r="829" spans="2:32" s="32" customFormat="1" x14ac:dyDescent="0.3">
      <c r="B829" s="92"/>
      <c r="C829" s="92"/>
      <c r="D829" s="439"/>
      <c r="E829" s="91"/>
      <c r="F829" s="91"/>
      <c r="G829" s="91"/>
      <c r="H829" s="91"/>
      <c r="I829" s="91"/>
      <c r="J829" s="92"/>
      <c r="K829" s="377" t="s">
        <v>297</v>
      </c>
      <c r="L829" s="378" t="s">
        <v>291</v>
      </c>
      <c r="M829" s="385" t="s">
        <v>1433</v>
      </c>
      <c r="N829" s="92"/>
      <c r="O829" s="92"/>
      <c r="P829" s="93"/>
      <c r="Q829" s="92"/>
      <c r="R829" s="393"/>
      <c r="S829" s="92"/>
      <c r="T829" s="393"/>
      <c r="U829" s="92"/>
      <c r="V829" s="393"/>
      <c r="W829" s="92"/>
      <c r="X829" s="393"/>
      <c r="Y829" s="92"/>
      <c r="Z829" s="418"/>
      <c r="AA829" s="95"/>
      <c r="AB829" s="419"/>
      <c r="AC829" s="419"/>
      <c r="AD829" s="420"/>
      <c r="AE829" s="408"/>
      <c r="AF829" s="92"/>
    </row>
    <row r="830" spans="2:32" s="32" customFormat="1" ht="15" x14ac:dyDescent="0.25">
      <c r="B830" s="36"/>
      <c r="C830" s="36"/>
      <c r="D830" s="434"/>
      <c r="E830" s="33"/>
      <c r="F830" s="33"/>
      <c r="G830" s="33"/>
      <c r="H830" s="33"/>
      <c r="I830" s="33"/>
      <c r="J830" s="36"/>
      <c r="K830" s="37"/>
      <c r="L830" s="46"/>
      <c r="M830" s="362"/>
      <c r="N830" s="36"/>
      <c r="O830" s="36"/>
      <c r="P830" s="50"/>
      <c r="Q830" s="36"/>
      <c r="R830" s="27"/>
      <c r="S830" s="36"/>
      <c r="T830" s="27"/>
      <c r="U830" s="36"/>
      <c r="V830" s="27"/>
      <c r="W830" s="36"/>
      <c r="X830" s="27"/>
      <c r="Y830" s="36"/>
      <c r="Z830" s="35"/>
      <c r="AA830" s="52"/>
      <c r="AB830" s="82"/>
      <c r="AC830" s="82"/>
      <c r="AD830" s="83"/>
      <c r="AE830" s="75"/>
      <c r="AF830" s="36"/>
    </row>
    <row r="831" spans="2:32" s="32" customFormat="1" ht="28.5" x14ac:dyDescent="0.25">
      <c r="B831" s="27"/>
      <c r="C831" s="27"/>
      <c r="D831" s="434"/>
      <c r="E831" s="33">
        <v>1</v>
      </c>
      <c r="F831" s="70" t="s">
        <v>131</v>
      </c>
      <c r="G831" s="70" t="s">
        <v>131</v>
      </c>
      <c r="H831" s="33">
        <v>23</v>
      </c>
      <c r="I831" s="34">
        <v>3</v>
      </c>
      <c r="J831" s="36" t="s">
        <v>226</v>
      </c>
      <c r="K831" s="374" t="s">
        <v>290</v>
      </c>
      <c r="L831" s="375" t="s">
        <v>291</v>
      </c>
      <c r="M831" s="375" t="s">
        <v>292</v>
      </c>
      <c r="N831" s="36" t="s">
        <v>301</v>
      </c>
      <c r="O831" s="36" t="s">
        <v>301</v>
      </c>
      <c r="P831" s="50">
        <v>1998354100</v>
      </c>
      <c r="Q831" s="36" t="s">
        <v>301</v>
      </c>
      <c r="R831" s="431">
        <f>P831+(P831*10%)</f>
        <v>2198189510</v>
      </c>
      <c r="S831" s="36" t="s">
        <v>301</v>
      </c>
      <c r="T831" s="431">
        <f>R831+(R831*10%)</f>
        <v>2418008461</v>
      </c>
      <c r="U831" s="36" t="s">
        <v>301</v>
      </c>
      <c r="V831" s="431">
        <f>T831+(T831*10%)</f>
        <v>2659809307.0999999</v>
      </c>
      <c r="W831" s="36" t="s">
        <v>301</v>
      </c>
      <c r="X831" s="431">
        <f>V831+(V831*10%)</f>
        <v>2925790237.8099999</v>
      </c>
      <c r="Y831" s="36" t="s">
        <v>301</v>
      </c>
      <c r="Z831" s="431">
        <f>X831+V831+T831+R831+P831</f>
        <v>12200151615.91</v>
      </c>
      <c r="AA831" s="52" t="str">
        <f>AA825</f>
        <v>Dinas Dikpora</v>
      </c>
      <c r="AB831" s="82"/>
      <c r="AC831" s="82"/>
      <c r="AD831" s="83"/>
      <c r="AE831" s="75"/>
      <c r="AF831" s="36" t="s">
        <v>227</v>
      </c>
    </row>
    <row r="832" spans="2:32" s="32" customFormat="1" ht="57" x14ac:dyDescent="0.25">
      <c r="B832" s="36"/>
      <c r="C832" s="36"/>
      <c r="D832" s="434"/>
      <c r="E832" s="33"/>
      <c r="F832" s="33"/>
      <c r="G832" s="33"/>
      <c r="H832" s="33"/>
      <c r="I832" s="33"/>
      <c r="J832" s="36"/>
      <c r="K832" s="374" t="s">
        <v>293</v>
      </c>
      <c r="L832" s="375" t="s">
        <v>291</v>
      </c>
      <c r="M832" s="362" t="s">
        <v>1357</v>
      </c>
      <c r="N832" s="36" t="s">
        <v>227</v>
      </c>
      <c r="O832" s="36" t="s">
        <v>227</v>
      </c>
      <c r="P832" s="50"/>
      <c r="Q832" s="36" t="s">
        <v>227</v>
      </c>
      <c r="R832" s="36"/>
      <c r="S832" s="36" t="s">
        <v>227</v>
      </c>
      <c r="T832" s="36"/>
      <c r="U832" s="36" t="s">
        <v>227</v>
      </c>
      <c r="V832" s="36"/>
      <c r="W832" s="36" t="s">
        <v>227</v>
      </c>
      <c r="X832" s="36"/>
      <c r="Y832" s="36" t="s">
        <v>227</v>
      </c>
      <c r="Z832" s="37"/>
      <c r="AA832" s="52"/>
      <c r="AB832" s="50">
        <v>10000</v>
      </c>
      <c r="AC832" s="50">
        <f>AB832+(AB832*10%)</f>
        <v>11000</v>
      </c>
      <c r="AD832" s="51" t="str">
        <f>AD764</f>
        <v>Dinas Dikpora</v>
      </c>
      <c r="AE832" s="52" t="s">
        <v>81</v>
      </c>
      <c r="AF832" s="36"/>
    </row>
    <row r="833" spans="2:32" s="72" customFormat="1" ht="28.5" x14ac:dyDescent="0.3">
      <c r="B833" s="36"/>
      <c r="C833" s="36"/>
      <c r="D833" s="433"/>
      <c r="E833" s="33"/>
      <c r="F833" s="33"/>
      <c r="G833" s="33"/>
      <c r="H833" s="33"/>
      <c r="I833" s="33"/>
      <c r="J833" s="36"/>
      <c r="K833" s="37"/>
      <c r="L833" s="375" t="s">
        <v>291</v>
      </c>
      <c r="M833" s="362" t="s">
        <v>444</v>
      </c>
      <c r="N833" s="41" t="s">
        <v>1178</v>
      </c>
      <c r="O833" s="41" t="s">
        <v>1178</v>
      </c>
      <c r="P833" s="50"/>
      <c r="Q833" s="41" t="s">
        <v>1178</v>
      </c>
      <c r="R833" s="36"/>
      <c r="S833" s="41" t="s">
        <v>1178</v>
      </c>
      <c r="T833" s="36"/>
      <c r="U833" s="41" t="s">
        <v>1178</v>
      </c>
      <c r="V833" s="36"/>
      <c r="W833" s="41" t="s">
        <v>1178</v>
      </c>
      <c r="X833" s="36"/>
      <c r="Y833" s="41" t="s">
        <v>1178</v>
      </c>
      <c r="Z833" s="37"/>
      <c r="AA833" s="52"/>
      <c r="AB833" s="50"/>
      <c r="AC833" s="50"/>
      <c r="AD833" s="51"/>
      <c r="AE833" s="52"/>
      <c r="AF833" s="36"/>
    </row>
    <row r="834" spans="2:32" ht="57" x14ac:dyDescent="0.3">
      <c r="B834" s="36"/>
      <c r="C834" s="36"/>
      <c r="E834" s="33"/>
      <c r="F834" s="33"/>
      <c r="G834" s="33"/>
      <c r="H834" s="33"/>
      <c r="I834" s="33"/>
      <c r="J834" s="36"/>
      <c r="K834" s="37"/>
      <c r="L834" s="375" t="s">
        <v>291</v>
      </c>
      <c r="M834" s="362" t="s">
        <v>1358</v>
      </c>
      <c r="N834" s="41" t="s">
        <v>1179</v>
      </c>
      <c r="O834" s="41" t="s">
        <v>1179</v>
      </c>
      <c r="P834" s="50"/>
      <c r="Q834" s="41" t="s">
        <v>1179</v>
      </c>
      <c r="R834" s="36"/>
      <c r="S834" s="41" t="s">
        <v>1179</v>
      </c>
      <c r="T834" s="36"/>
      <c r="U834" s="41" t="s">
        <v>1179</v>
      </c>
      <c r="V834" s="36"/>
      <c r="W834" s="41" t="s">
        <v>1179</v>
      </c>
      <c r="X834" s="36"/>
      <c r="Y834" s="41" t="s">
        <v>1179</v>
      </c>
      <c r="Z834" s="37"/>
      <c r="AA834" s="52"/>
      <c r="AB834" s="50">
        <v>52000</v>
      </c>
      <c r="AC834" s="50">
        <f>AB834+(AB834*10%)</f>
        <v>57200</v>
      </c>
      <c r="AD834" s="51" t="str">
        <f>AD832</f>
        <v>Dinas Dikpora</v>
      </c>
      <c r="AE834" s="52" t="s">
        <v>81</v>
      </c>
      <c r="AF834" s="36"/>
    </row>
    <row r="835" spans="2:32" ht="28.5" x14ac:dyDescent="0.3">
      <c r="B835" s="36"/>
      <c r="C835" s="36"/>
      <c r="E835" s="33"/>
      <c r="F835" s="33"/>
      <c r="G835" s="33"/>
      <c r="H835" s="33"/>
      <c r="I835" s="33"/>
      <c r="J835" s="36"/>
      <c r="K835" s="374" t="s">
        <v>294</v>
      </c>
      <c r="L835" s="375" t="s">
        <v>291</v>
      </c>
      <c r="M835" s="362" t="s">
        <v>1521</v>
      </c>
      <c r="N835" s="41">
        <v>1</v>
      </c>
      <c r="O835" s="41">
        <v>1</v>
      </c>
      <c r="P835" s="50"/>
      <c r="Q835" s="41">
        <v>1</v>
      </c>
      <c r="R835" s="36"/>
      <c r="S835" s="41">
        <v>1</v>
      </c>
      <c r="T835" s="36"/>
      <c r="U835" s="41">
        <v>1</v>
      </c>
      <c r="V835" s="36"/>
      <c r="W835" s="41">
        <v>1</v>
      </c>
      <c r="X835" s="36"/>
      <c r="Y835" s="41">
        <v>1</v>
      </c>
      <c r="Z835" s="37"/>
      <c r="AA835" s="52"/>
      <c r="AB835" s="50"/>
      <c r="AC835" s="50"/>
      <c r="AD835" s="51"/>
      <c r="AE835" s="52"/>
      <c r="AF835" s="36"/>
    </row>
    <row r="836" spans="2:32" ht="28.5" x14ac:dyDescent="0.3">
      <c r="B836" s="36"/>
      <c r="C836" s="36"/>
      <c r="E836" s="33"/>
      <c r="F836" s="33"/>
      <c r="G836" s="33"/>
      <c r="H836" s="33"/>
      <c r="I836" s="33"/>
      <c r="J836" s="36"/>
      <c r="K836" s="374"/>
      <c r="L836" s="375" t="s">
        <v>291</v>
      </c>
      <c r="M836" s="362" t="s">
        <v>1522</v>
      </c>
      <c r="N836" s="41">
        <v>1</v>
      </c>
      <c r="O836" s="41">
        <v>1</v>
      </c>
      <c r="P836" s="50"/>
      <c r="Q836" s="41">
        <v>1</v>
      </c>
      <c r="R836" s="36"/>
      <c r="S836" s="41">
        <v>1</v>
      </c>
      <c r="T836" s="36"/>
      <c r="U836" s="41">
        <v>1</v>
      </c>
      <c r="V836" s="36"/>
      <c r="W836" s="41">
        <v>1</v>
      </c>
      <c r="X836" s="36"/>
      <c r="Y836" s="41">
        <v>1</v>
      </c>
      <c r="Z836" s="37"/>
      <c r="AA836" s="52"/>
      <c r="AB836" s="50"/>
      <c r="AC836" s="50"/>
      <c r="AD836" s="51"/>
      <c r="AE836" s="52"/>
      <c r="AF836" s="36"/>
    </row>
    <row r="837" spans="2:32" x14ac:dyDescent="0.3">
      <c r="B837" s="36"/>
      <c r="C837" s="36"/>
      <c r="E837" s="33"/>
      <c r="F837" s="33"/>
      <c r="G837" s="33"/>
      <c r="H837" s="33"/>
      <c r="I837" s="33"/>
      <c r="J837" s="36"/>
      <c r="K837" s="374" t="s">
        <v>295</v>
      </c>
      <c r="L837" s="375" t="s">
        <v>291</v>
      </c>
      <c r="M837" s="384" t="s">
        <v>1523</v>
      </c>
      <c r="N837" s="41"/>
      <c r="O837" s="41"/>
      <c r="P837" s="50"/>
      <c r="Q837" s="41"/>
      <c r="R837" s="36"/>
      <c r="S837" s="41"/>
      <c r="T837" s="36"/>
      <c r="U837" s="41"/>
      <c r="V837" s="36"/>
      <c r="W837" s="41"/>
      <c r="X837" s="36"/>
      <c r="Y837" s="41"/>
      <c r="Z837" s="37"/>
      <c r="AA837" s="52"/>
      <c r="AB837" s="50"/>
      <c r="AC837" s="50"/>
      <c r="AD837" s="51"/>
      <c r="AE837" s="52"/>
      <c r="AF837" s="36"/>
    </row>
    <row r="838" spans="2:32" x14ac:dyDescent="0.3">
      <c r="B838" s="92"/>
      <c r="C838" s="92"/>
      <c r="D838" s="445"/>
      <c r="E838" s="91"/>
      <c r="F838" s="91"/>
      <c r="G838" s="91"/>
      <c r="H838" s="91"/>
      <c r="I838" s="91"/>
      <c r="J838" s="92"/>
      <c r="K838" s="377" t="s">
        <v>297</v>
      </c>
      <c r="L838" s="378" t="s">
        <v>291</v>
      </c>
      <c r="M838" s="385" t="s">
        <v>298</v>
      </c>
      <c r="N838" s="421"/>
      <c r="O838" s="421"/>
      <c r="P838" s="93"/>
      <c r="Q838" s="421"/>
      <c r="R838" s="92"/>
      <c r="S838" s="421"/>
      <c r="T838" s="92"/>
      <c r="U838" s="421"/>
      <c r="V838" s="92"/>
      <c r="W838" s="421"/>
      <c r="X838" s="92"/>
      <c r="Y838" s="421"/>
      <c r="Z838" s="101"/>
      <c r="AA838" s="95"/>
      <c r="AB838" s="93"/>
      <c r="AC838" s="93"/>
      <c r="AD838" s="94"/>
      <c r="AE838" s="95"/>
      <c r="AF838" s="92"/>
    </row>
    <row r="839" spans="2:32" x14ac:dyDescent="0.3">
      <c r="B839" s="36"/>
      <c r="C839" s="36"/>
      <c r="E839" s="33"/>
      <c r="F839" s="33"/>
      <c r="G839" s="33"/>
      <c r="H839" s="33"/>
      <c r="I839" s="33"/>
      <c r="J839" s="36"/>
      <c r="K839" s="37"/>
      <c r="L839" s="375"/>
      <c r="M839" s="362"/>
      <c r="N839" s="41"/>
      <c r="O839" s="41"/>
      <c r="P839" s="50"/>
      <c r="Q839" s="41"/>
      <c r="R839" s="36"/>
      <c r="S839" s="41"/>
      <c r="T839" s="36"/>
      <c r="U839" s="41"/>
      <c r="V839" s="36"/>
      <c r="W839" s="41"/>
      <c r="X839" s="36"/>
      <c r="Y839" s="41"/>
      <c r="Z839" s="37"/>
      <c r="AA839" s="52"/>
      <c r="AB839" s="50"/>
      <c r="AC839" s="50"/>
      <c r="AD839" s="51"/>
      <c r="AE839" s="52"/>
      <c r="AF839" s="36"/>
    </row>
    <row r="840" spans="2:32" ht="28.5" x14ac:dyDescent="0.3">
      <c r="B840" s="36"/>
      <c r="C840" s="36"/>
      <c r="E840" s="33">
        <v>1</v>
      </c>
      <c r="F840" s="70" t="s">
        <v>131</v>
      </c>
      <c r="G840" s="70" t="s">
        <v>131</v>
      </c>
      <c r="H840" s="33">
        <v>23</v>
      </c>
      <c r="I840" s="34">
        <v>5</v>
      </c>
      <c r="J840" s="36" t="s">
        <v>228</v>
      </c>
      <c r="K840" s="374" t="s">
        <v>290</v>
      </c>
      <c r="L840" s="375" t="s">
        <v>291</v>
      </c>
      <c r="M840" s="375" t="s">
        <v>292</v>
      </c>
      <c r="N840" s="36" t="s">
        <v>301</v>
      </c>
      <c r="O840" s="36" t="s">
        <v>301</v>
      </c>
      <c r="P840" s="50">
        <v>69202500</v>
      </c>
      <c r="Q840" s="36" t="s">
        <v>301</v>
      </c>
      <c r="R840" s="431">
        <f>P840+(P840*10%)</f>
        <v>76122750</v>
      </c>
      <c r="S840" s="36" t="s">
        <v>301</v>
      </c>
      <c r="T840" s="431">
        <f>R840+(R840*10%)</f>
        <v>83735025</v>
      </c>
      <c r="U840" s="36" t="s">
        <v>301</v>
      </c>
      <c r="V840" s="431">
        <f>T840+(T840*10%)</f>
        <v>92108527.5</v>
      </c>
      <c r="W840" s="36" t="s">
        <v>301</v>
      </c>
      <c r="X840" s="431">
        <f>V840+(V840*10%)</f>
        <v>101319380.25</v>
      </c>
      <c r="Y840" s="36" t="s">
        <v>301</v>
      </c>
      <c r="Z840" s="431">
        <f>X840+V840+T840+R840+P840</f>
        <v>422488182.75</v>
      </c>
      <c r="AA840" s="52" t="str">
        <f>AA831</f>
        <v>Dinas Dikpora</v>
      </c>
      <c r="AB840" s="50"/>
      <c r="AC840" s="50"/>
      <c r="AD840" s="51"/>
      <c r="AE840" s="52"/>
      <c r="AF840" s="36" t="s">
        <v>229</v>
      </c>
    </row>
    <row r="841" spans="2:32" ht="28.5" x14ac:dyDescent="0.3">
      <c r="B841" s="36"/>
      <c r="C841" s="36"/>
      <c r="E841" s="33"/>
      <c r="F841" s="70"/>
      <c r="G841" s="70"/>
      <c r="H841" s="33"/>
      <c r="I841" s="70"/>
      <c r="J841" s="36"/>
      <c r="K841" s="374" t="s">
        <v>293</v>
      </c>
      <c r="L841" s="375" t="s">
        <v>291</v>
      </c>
      <c r="M841" s="362" t="s">
        <v>451</v>
      </c>
      <c r="N841" s="36" t="s">
        <v>1180</v>
      </c>
      <c r="O841" s="36" t="s">
        <v>1180</v>
      </c>
      <c r="P841" s="50"/>
      <c r="Q841" s="36" t="s">
        <v>1180</v>
      </c>
      <c r="R841" s="36"/>
      <c r="S841" s="36" t="s">
        <v>1180</v>
      </c>
      <c r="T841" s="36"/>
      <c r="U841" s="36" t="s">
        <v>1180</v>
      </c>
      <c r="V841" s="36"/>
      <c r="W841" s="36" t="s">
        <v>1180</v>
      </c>
      <c r="X841" s="36"/>
      <c r="Y841" s="36" t="s">
        <v>1180</v>
      </c>
      <c r="Z841" s="37"/>
      <c r="AA841" s="52"/>
      <c r="AB841" s="84">
        <v>93082</v>
      </c>
      <c r="AC841" s="50">
        <f>AB841+(AB841*20%)</f>
        <v>111698.4</v>
      </c>
      <c r="AD841" s="51" t="s">
        <v>66</v>
      </c>
      <c r="AE841" s="52" t="s">
        <v>67</v>
      </c>
      <c r="AF841" s="36"/>
    </row>
    <row r="842" spans="2:32" ht="28.5" x14ac:dyDescent="0.3">
      <c r="B842" s="36"/>
      <c r="C842" s="36"/>
      <c r="E842" s="33"/>
      <c r="F842" s="70"/>
      <c r="G842" s="70"/>
      <c r="H842" s="33"/>
      <c r="I842" s="70"/>
      <c r="J842" s="36"/>
      <c r="K842" s="374" t="s">
        <v>294</v>
      </c>
      <c r="L842" s="375" t="s">
        <v>291</v>
      </c>
      <c r="M842" s="362" t="s">
        <v>1524</v>
      </c>
      <c r="N842" s="41">
        <v>1</v>
      </c>
      <c r="O842" s="41">
        <v>1</v>
      </c>
      <c r="P842" s="50"/>
      <c r="Q842" s="41">
        <v>1</v>
      </c>
      <c r="R842" s="36"/>
      <c r="S842" s="41">
        <v>1</v>
      </c>
      <c r="T842" s="36"/>
      <c r="U842" s="41">
        <v>1</v>
      </c>
      <c r="V842" s="36"/>
      <c r="W842" s="41">
        <v>1</v>
      </c>
      <c r="X842" s="36"/>
      <c r="Y842" s="41">
        <v>1</v>
      </c>
      <c r="Z842" s="37"/>
      <c r="AA842" s="52"/>
      <c r="AB842" s="84"/>
      <c r="AC842" s="50"/>
      <c r="AD842" s="51"/>
      <c r="AE842" s="52"/>
      <c r="AF842" s="36"/>
    </row>
    <row r="843" spans="2:32" ht="28.5" x14ac:dyDescent="0.3">
      <c r="B843" s="36"/>
      <c r="C843" s="36"/>
      <c r="E843" s="33"/>
      <c r="F843" s="70"/>
      <c r="G843" s="70"/>
      <c r="H843" s="33"/>
      <c r="I843" s="70"/>
      <c r="J843" s="36"/>
      <c r="K843" s="374" t="s">
        <v>295</v>
      </c>
      <c r="L843" s="375" t="s">
        <v>291</v>
      </c>
      <c r="M843" s="362" t="s">
        <v>1526</v>
      </c>
      <c r="N843" s="36"/>
      <c r="O843" s="36"/>
      <c r="P843" s="50"/>
      <c r="Q843" s="36"/>
      <c r="R843" s="36"/>
      <c r="S843" s="36"/>
      <c r="T843" s="36"/>
      <c r="U843" s="36"/>
      <c r="V843" s="36"/>
      <c r="W843" s="36"/>
      <c r="X843" s="36"/>
      <c r="Y843" s="36"/>
      <c r="Z843" s="37"/>
      <c r="AA843" s="52"/>
      <c r="AB843" s="84"/>
      <c r="AC843" s="50"/>
      <c r="AD843" s="51"/>
      <c r="AE843" s="52"/>
      <c r="AF843" s="36"/>
    </row>
    <row r="844" spans="2:32" x14ac:dyDescent="0.3">
      <c r="B844" s="92"/>
      <c r="C844" s="92"/>
      <c r="D844" s="445"/>
      <c r="E844" s="91"/>
      <c r="F844" s="409"/>
      <c r="G844" s="409"/>
      <c r="H844" s="91"/>
      <c r="I844" s="409"/>
      <c r="J844" s="92"/>
      <c r="K844" s="377" t="s">
        <v>297</v>
      </c>
      <c r="L844" s="378" t="s">
        <v>291</v>
      </c>
      <c r="M844" s="386" t="s">
        <v>1527</v>
      </c>
      <c r="N844" s="92"/>
      <c r="O844" s="92"/>
      <c r="P844" s="93"/>
      <c r="Q844" s="92"/>
      <c r="R844" s="92"/>
      <c r="S844" s="92"/>
      <c r="T844" s="92"/>
      <c r="U844" s="92"/>
      <c r="V844" s="92"/>
      <c r="W844" s="92"/>
      <c r="X844" s="92"/>
      <c r="Y844" s="92"/>
      <c r="Z844" s="101"/>
      <c r="AA844" s="95"/>
      <c r="AB844" s="414"/>
      <c r="AC844" s="93"/>
      <c r="AD844" s="94"/>
      <c r="AE844" s="95"/>
      <c r="AF844" s="92"/>
    </row>
    <row r="845" spans="2:32" x14ac:dyDescent="0.3">
      <c r="B845" s="36"/>
      <c r="C845" s="36"/>
      <c r="E845" s="33"/>
      <c r="F845" s="70"/>
      <c r="G845" s="70"/>
      <c r="H845" s="33"/>
      <c r="I845" s="70"/>
      <c r="J845" s="36"/>
      <c r="K845" s="37"/>
      <c r="L845" s="46"/>
      <c r="M845" s="362"/>
      <c r="N845" s="36"/>
      <c r="O845" s="36"/>
      <c r="P845" s="50"/>
      <c r="Q845" s="36"/>
      <c r="R845" s="36"/>
      <c r="S845" s="36"/>
      <c r="T845" s="36"/>
      <c r="U845" s="36"/>
      <c r="V845" s="36"/>
      <c r="W845" s="36"/>
      <c r="X845" s="36"/>
      <c r="Y845" s="36"/>
      <c r="Z845" s="37"/>
      <c r="AA845" s="52"/>
      <c r="AB845" s="84"/>
      <c r="AC845" s="50"/>
      <c r="AD845" s="51"/>
      <c r="AE845" s="52"/>
      <c r="AF845" s="36"/>
    </row>
    <row r="846" spans="2:32" ht="28.5" x14ac:dyDescent="0.3">
      <c r="B846" s="36"/>
      <c r="C846" s="36"/>
      <c r="E846" s="33">
        <v>1</v>
      </c>
      <c r="F846" s="70" t="s">
        <v>131</v>
      </c>
      <c r="G846" s="70" t="s">
        <v>131</v>
      </c>
      <c r="H846" s="33">
        <v>23</v>
      </c>
      <c r="I846" s="34">
        <v>6</v>
      </c>
      <c r="J846" s="36" t="s">
        <v>230</v>
      </c>
      <c r="K846" s="374" t="s">
        <v>290</v>
      </c>
      <c r="L846" s="375" t="s">
        <v>291</v>
      </c>
      <c r="M846" s="375" t="s">
        <v>292</v>
      </c>
      <c r="N846" s="36" t="s">
        <v>301</v>
      </c>
      <c r="O846" s="36" t="s">
        <v>301</v>
      </c>
      <c r="P846" s="50">
        <v>137030000</v>
      </c>
      <c r="Q846" s="36" t="s">
        <v>301</v>
      </c>
      <c r="R846" s="431">
        <f>P846+(P846*10%)</f>
        <v>150733000</v>
      </c>
      <c r="S846" s="36" t="s">
        <v>301</v>
      </c>
      <c r="T846" s="431">
        <f>R846+(R846*10%)</f>
        <v>165806300</v>
      </c>
      <c r="U846" s="36" t="s">
        <v>301</v>
      </c>
      <c r="V846" s="431">
        <f>T846+(T846*10%)</f>
        <v>182386930</v>
      </c>
      <c r="W846" s="36" t="s">
        <v>301</v>
      </c>
      <c r="X846" s="431">
        <f>V846+(V846*10%)</f>
        <v>200625623</v>
      </c>
      <c r="Y846" s="36" t="s">
        <v>301</v>
      </c>
      <c r="Z846" s="431">
        <f>X846+V846+T846+R846+P846</f>
        <v>836581853</v>
      </c>
      <c r="AA846" s="52" t="str">
        <f>AA840</f>
        <v>Dinas Dikpora</v>
      </c>
      <c r="AB846" s="50"/>
      <c r="AC846" s="50"/>
      <c r="AD846" s="51"/>
      <c r="AE846" s="52"/>
      <c r="AF846" s="36" t="s">
        <v>229</v>
      </c>
    </row>
    <row r="847" spans="2:32" x14ac:dyDescent="0.3">
      <c r="B847" s="36"/>
      <c r="C847" s="36"/>
      <c r="E847" s="33"/>
      <c r="F847" s="33"/>
      <c r="G847" s="33"/>
      <c r="H847" s="33"/>
      <c r="I847" s="33"/>
      <c r="J847" s="36"/>
      <c r="K847" s="374" t="s">
        <v>293</v>
      </c>
      <c r="L847" s="375" t="s">
        <v>291</v>
      </c>
      <c r="M847" s="362" t="s">
        <v>1359</v>
      </c>
      <c r="N847" s="36" t="s">
        <v>452</v>
      </c>
      <c r="O847" s="36" t="s">
        <v>452</v>
      </c>
      <c r="P847" s="50"/>
      <c r="Q847" s="36" t="s">
        <v>452</v>
      </c>
      <c r="R847" s="36"/>
      <c r="S847" s="36" t="s">
        <v>452</v>
      </c>
      <c r="T847" s="36"/>
      <c r="U847" s="36" t="s">
        <v>452</v>
      </c>
      <c r="V847" s="36"/>
      <c r="W847" s="36" t="s">
        <v>452</v>
      </c>
      <c r="X847" s="36"/>
      <c r="Y847" s="36" t="s">
        <v>452</v>
      </c>
      <c r="Z847" s="37"/>
      <c r="AA847" s="52"/>
      <c r="AB847" s="50"/>
      <c r="AC847" s="50"/>
      <c r="AD847" s="51"/>
      <c r="AE847" s="52"/>
      <c r="AF847" s="36"/>
    </row>
    <row r="848" spans="2:32" ht="28.5" x14ac:dyDescent="0.3">
      <c r="B848" s="36"/>
      <c r="C848" s="36"/>
      <c r="E848" s="33"/>
      <c r="F848" s="33"/>
      <c r="G848" s="33"/>
      <c r="H848" s="33"/>
      <c r="I848" s="33"/>
      <c r="J848" s="36"/>
      <c r="K848" s="374" t="s">
        <v>294</v>
      </c>
      <c r="L848" s="375" t="s">
        <v>291</v>
      </c>
      <c r="M848" s="362" t="s">
        <v>1525</v>
      </c>
      <c r="N848" s="41">
        <v>1</v>
      </c>
      <c r="O848" s="41">
        <v>1</v>
      </c>
      <c r="P848" s="50"/>
      <c r="Q848" s="41">
        <v>1</v>
      </c>
      <c r="R848" s="36"/>
      <c r="S848" s="41">
        <v>1</v>
      </c>
      <c r="T848" s="36"/>
      <c r="U848" s="41">
        <v>1</v>
      </c>
      <c r="V848" s="36"/>
      <c r="W848" s="41">
        <v>1</v>
      </c>
      <c r="X848" s="36"/>
      <c r="Y848" s="41">
        <v>1</v>
      </c>
      <c r="Z848" s="37"/>
      <c r="AA848" s="52"/>
      <c r="AB848" s="50"/>
      <c r="AC848" s="50"/>
      <c r="AD848" s="51"/>
      <c r="AE848" s="52"/>
      <c r="AF848" s="36"/>
    </row>
    <row r="849" spans="2:32" ht="28.5" x14ac:dyDescent="0.3">
      <c r="B849" s="36"/>
      <c r="C849" s="36"/>
      <c r="E849" s="33"/>
      <c r="F849" s="33"/>
      <c r="G849" s="33"/>
      <c r="H849" s="33"/>
      <c r="I849" s="33"/>
      <c r="J849" s="36"/>
      <c r="K849" s="374" t="s">
        <v>295</v>
      </c>
      <c r="L849" s="375" t="s">
        <v>291</v>
      </c>
      <c r="M849" s="362" t="s">
        <v>1528</v>
      </c>
      <c r="N849" s="36"/>
      <c r="O849" s="36"/>
      <c r="P849" s="50"/>
      <c r="Q849" s="36"/>
      <c r="R849" s="36"/>
      <c r="S849" s="36"/>
      <c r="T849" s="36"/>
      <c r="U849" s="36"/>
      <c r="V849" s="36"/>
      <c r="W849" s="36"/>
      <c r="X849" s="36"/>
      <c r="Y849" s="36"/>
      <c r="Z849" s="37"/>
      <c r="AA849" s="52"/>
      <c r="AB849" s="50"/>
      <c r="AC849" s="50"/>
      <c r="AD849" s="51"/>
      <c r="AE849" s="52"/>
      <c r="AF849" s="36"/>
    </row>
    <row r="850" spans="2:32" x14ac:dyDescent="0.3">
      <c r="B850" s="92"/>
      <c r="C850" s="92"/>
      <c r="D850" s="445"/>
      <c r="E850" s="91"/>
      <c r="F850" s="91"/>
      <c r="G850" s="91"/>
      <c r="H850" s="91"/>
      <c r="I850" s="91"/>
      <c r="J850" s="92"/>
      <c r="K850" s="377" t="s">
        <v>297</v>
      </c>
      <c r="L850" s="378" t="s">
        <v>291</v>
      </c>
      <c r="M850" s="386" t="s">
        <v>1527</v>
      </c>
      <c r="N850" s="92"/>
      <c r="O850" s="92"/>
      <c r="P850" s="93"/>
      <c r="Q850" s="92"/>
      <c r="R850" s="92"/>
      <c r="S850" s="92"/>
      <c r="T850" s="92"/>
      <c r="U850" s="92"/>
      <c r="V850" s="92"/>
      <c r="W850" s="92"/>
      <c r="X850" s="92"/>
      <c r="Y850" s="92"/>
      <c r="Z850" s="101"/>
      <c r="AA850" s="95"/>
      <c r="AB850" s="93"/>
      <c r="AC850" s="93"/>
      <c r="AD850" s="94"/>
      <c r="AE850" s="95"/>
      <c r="AF850" s="92"/>
    </row>
    <row r="851" spans="2:32" x14ac:dyDescent="0.3">
      <c r="B851" s="36"/>
      <c r="C851" s="36"/>
      <c r="E851" s="33"/>
      <c r="F851" s="33"/>
      <c r="G851" s="33"/>
      <c r="H851" s="33"/>
      <c r="I851" s="33"/>
      <c r="J851" s="36"/>
      <c r="K851" s="37"/>
      <c r="L851" s="46"/>
      <c r="M851" s="362"/>
      <c r="N851" s="36"/>
      <c r="O851" s="36"/>
      <c r="P851" s="50"/>
      <c r="Q851" s="36"/>
      <c r="R851" s="36"/>
      <c r="S851" s="36"/>
      <c r="T851" s="36"/>
      <c r="U851" s="36"/>
      <c r="V851" s="36"/>
      <c r="W851" s="36"/>
      <c r="X851" s="36"/>
      <c r="Y851" s="36"/>
      <c r="Z851" s="37"/>
      <c r="AA851" s="52"/>
      <c r="AB851" s="50"/>
      <c r="AC851" s="50"/>
      <c r="AD851" s="51"/>
      <c r="AE851" s="52"/>
      <c r="AF851" s="36"/>
    </row>
    <row r="852" spans="2:32" x14ac:dyDescent="0.3">
      <c r="B852" s="36"/>
      <c r="C852" s="36"/>
      <c r="E852" s="33">
        <v>1</v>
      </c>
      <c r="F852" s="70" t="s">
        <v>131</v>
      </c>
      <c r="G852" s="70" t="s">
        <v>131</v>
      </c>
      <c r="H852" s="33">
        <v>23</v>
      </c>
      <c r="I852" s="34">
        <v>7</v>
      </c>
      <c r="J852" s="36" t="s">
        <v>231</v>
      </c>
      <c r="K852" s="374" t="s">
        <v>290</v>
      </c>
      <c r="L852" s="375" t="s">
        <v>291</v>
      </c>
      <c r="M852" s="375" t="s">
        <v>292</v>
      </c>
      <c r="N852" s="36" t="s">
        <v>301</v>
      </c>
      <c r="O852" s="36" t="s">
        <v>301</v>
      </c>
      <c r="P852" s="50">
        <v>112365000</v>
      </c>
      <c r="Q852" s="36" t="s">
        <v>301</v>
      </c>
      <c r="R852" s="431">
        <f>P852+(P852*10%)</f>
        <v>123601500</v>
      </c>
      <c r="S852" s="36" t="s">
        <v>301</v>
      </c>
      <c r="T852" s="431">
        <f>R852+(R852*10%)</f>
        <v>135961650</v>
      </c>
      <c r="U852" s="36" t="s">
        <v>301</v>
      </c>
      <c r="V852" s="431">
        <f>T852+(T852*10%)</f>
        <v>149557815</v>
      </c>
      <c r="W852" s="36" t="s">
        <v>301</v>
      </c>
      <c r="X852" s="431">
        <f>V852+(V852*10%)</f>
        <v>164513596.5</v>
      </c>
      <c r="Y852" s="36" t="s">
        <v>301</v>
      </c>
      <c r="Z852" s="431">
        <f>X852+V852+T852+R852+P852</f>
        <v>685999561.5</v>
      </c>
      <c r="AA852" s="52" t="str">
        <f>AA846</f>
        <v>Dinas Dikpora</v>
      </c>
      <c r="AB852" s="50"/>
      <c r="AC852" s="50"/>
      <c r="AD852" s="51"/>
      <c r="AE852" s="52"/>
      <c r="AF852" s="36" t="s">
        <v>75</v>
      </c>
    </row>
    <row r="853" spans="2:32" x14ac:dyDescent="0.3">
      <c r="B853" s="36"/>
      <c r="C853" s="36"/>
      <c r="E853" s="33"/>
      <c r="F853" s="33"/>
      <c r="G853" s="33"/>
      <c r="H853" s="33"/>
      <c r="I853" s="33"/>
      <c r="J853" s="40"/>
      <c r="K853" s="374" t="s">
        <v>293</v>
      </c>
      <c r="L853" s="375" t="s">
        <v>291</v>
      </c>
      <c r="M853" s="362" t="s">
        <v>469</v>
      </c>
      <c r="N853" s="36" t="s">
        <v>431</v>
      </c>
      <c r="O853" s="36" t="s">
        <v>431</v>
      </c>
      <c r="P853" s="50"/>
      <c r="Q853" s="36" t="s">
        <v>431</v>
      </c>
      <c r="R853" s="36"/>
      <c r="S853" s="36" t="s">
        <v>431</v>
      </c>
      <c r="T853" s="36"/>
      <c r="U853" s="36" t="s">
        <v>431</v>
      </c>
      <c r="V853" s="36"/>
      <c r="W853" s="36" t="s">
        <v>431</v>
      </c>
      <c r="X853" s="36"/>
      <c r="Y853" s="36" t="s">
        <v>431</v>
      </c>
      <c r="Z853" s="37"/>
      <c r="AA853" s="52"/>
      <c r="AB853" s="50"/>
      <c r="AC853" s="50"/>
      <c r="AD853" s="51"/>
      <c r="AE853" s="52"/>
      <c r="AF853" s="36"/>
    </row>
    <row r="854" spans="2:32" ht="28.5" x14ac:dyDescent="0.3">
      <c r="B854" s="36"/>
      <c r="C854" s="36"/>
      <c r="E854" s="33"/>
      <c r="F854" s="33"/>
      <c r="G854" s="33"/>
      <c r="H854" s="33"/>
      <c r="I854" s="33"/>
      <c r="J854" s="40"/>
      <c r="K854" s="43"/>
      <c r="L854" s="375" t="s">
        <v>291</v>
      </c>
      <c r="M854" s="362" t="s">
        <v>1360</v>
      </c>
      <c r="N854" s="36" t="s">
        <v>471</v>
      </c>
      <c r="O854" s="36" t="s">
        <v>471</v>
      </c>
      <c r="P854" s="50"/>
      <c r="Q854" s="36" t="s">
        <v>471</v>
      </c>
      <c r="R854" s="36"/>
      <c r="S854" s="36" t="s">
        <v>471</v>
      </c>
      <c r="T854" s="36"/>
      <c r="U854" s="36" t="s">
        <v>471</v>
      </c>
      <c r="V854" s="36"/>
      <c r="W854" s="36" t="s">
        <v>471</v>
      </c>
      <c r="X854" s="36"/>
      <c r="Y854" s="36" t="s">
        <v>471</v>
      </c>
      <c r="Z854" s="37"/>
      <c r="AA854" s="52"/>
      <c r="AB854" s="50"/>
      <c r="AC854" s="50"/>
      <c r="AD854" s="51"/>
      <c r="AE854" s="52"/>
      <c r="AF854" s="36"/>
    </row>
    <row r="855" spans="2:32" ht="28.5" x14ac:dyDescent="0.3">
      <c r="B855" s="36"/>
      <c r="C855" s="36"/>
      <c r="E855" s="33"/>
      <c r="F855" s="33"/>
      <c r="G855" s="33"/>
      <c r="H855" s="33"/>
      <c r="I855" s="33"/>
      <c r="J855" s="40"/>
      <c r="K855" s="374" t="s">
        <v>294</v>
      </c>
      <c r="L855" s="375" t="s">
        <v>291</v>
      </c>
      <c r="M855" s="362" t="s">
        <v>1529</v>
      </c>
      <c r="N855" s="36" t="s">
        <v>431</v>
      </c>
      <c r="O855" s="36" t="s">
        <v>431</v>
      </c>
      <c r="P855" s="50"/>
      <c r="Q855" s="36" t="s">
        <v>431</v>
      </c>
      <c r="R855" s="36"/>
      <c r="S855" s="36" t="s">
        <v>431</v>
      </c>
      <c r="T855" s="36"/>
      <c r="U855" s="36" t="s">
        <v>431</v>
      </c>
      <c r="V855" s="36"/>
      <c r="W855" s="36" t="s">
        <v>431</v>
      </c>
      <c r="X855" s="36"/>
      <c r="Y855" s="36" t="s">
        <v>431</v>
      </c>
      <c r="Z855" s="37"/>
      <c r="AA855" s="52"/>
      <c r="AB855" s="50"/>
      <c r="AC855" s="50"/>
      <c r="AD855" s="51"/>
      <c r="AE855" s="52"/>
      <c r="AF855" s="36"/>
    </row>
    <row r="856" spans="2:32" x14ac:dyDescent="0.3">
      <c r="B856" s="36"/>
      <c r="C856" s="36"/>
      <c r="E856" s="33"/>
      <c r="F856" s="33"/>
      <c r="G856" s="33"/>
      <c r="H856" s="33"/>
      <c r="I856" s="33"/>
      <c r="J856" s="40"/>
      <c r="K856" s="374" t="s">
        <v>295</v>
      </c>
      <c r="L856" s="375" t="s">
        <v>291</v>
      </c>
      <c r="M856" s="384" t="s">
        <v>1520</v>
      </c>
      <c r="N856" s="36"/>
      <c r="O856" s="36"/>
      <c r="P856" s="50"/>
      <c r="Q856" s="36"/>
      <c r="R856" s="36"/>
      <c r="S856" s="36"/>
      <c r="T856" s="36"/>
      <c r="U856" s="36"/>
      <c r="V856" s="36"/>
      <c r="W856" s="36"/>
      <c r="X856" s="36"/>
      <c r="Y856" s="36"/>
      <c r="Z856" s="37"/>
      <c r="AA856" s="52"/>
      <c r="AB856" s="50"/>
      <c r="AC856" s="50"/>
      <c r="AD856" s="51"/>
      <c r="AE856" s="52"/>
      <c r="AF856" s="36"/>
    </row>
    <row r="857" spans="2:32" x14ac:dyDescent="0.3">
      <c r="B857" s="92"/>
      <c r="C857" s="92"/>
      <c r="D857" s="445"/>
      <c r="E857" s="91"/>
      <c r="F857" s="91"/>
      <c r="G857" s="91"/>
      <c r="H857" s="91"/>
      <c r="I857" s="91"/>
      <c r="J857" s="422"/>
      <c r="K857" s="377" t="s">
        <v>297</v>
      </c>
      <c r="L857" s="378" t="s">
        <v>291</v>
      </c>
      <c r="M857" s="385" t="s">
        <v>298</v>
      </c>
      <c r="N857" s="92"/>
      <c r="O857" s="92"/>
      <c r="P857" s="93"/>
      <c r="Q857" s="92"/>
      <c r="R857" s="92"/>
      <c r="S857" s="92"/>
      <c r="T857" s="92"/>
      <c r="U857" s="92"/>
      <c r="V857" s="92"/>
      <c r="W857" s="92"/>
      <c r="X857" s="92"/>
      <c r="Y857" s="92"/>
      <c r="Z857" s="101"/>
      <c r="AA857" s="95"/>
      <c r="AB857" s="93"/>
      <c r="AC857" s="93"/>
      <c r="AD857" s="94"/>
      <c r="AE857" s="95"/>
      <c r="AF857" s="92"/>
    </row>
    <row r="858" spans="2:32" x14ac:dyDescent="0.3">
      <c r="B858" s="36"/>
      <c r="C858" s="36"/>
      <c r="E858" s="33"/>
      <c r="F858" s="33"/>
      <c r="G858" s="33"/>
      <c r="H858" s="33"/>
      <c r="I858" s="33"/>
      <c r="J858" s="40"/>
      <c r="K858" s="43"/>
      <c r="L858" s="368"/>
      <c r="M858" s="362"/>
      <c r="N858" s="36"/>
      <c r="O858" s="36"/>
      <c r="P858" s="50"/>
      <c r="Q858" s="36"/>
      <c r="R858" s="36"/>
      <c r="S858" s="36"/>
      <c r="T858" s="36"/>
      <c r="U858" s="36"/>
      <c r="V858" s="36"/>
      <c r="W858" s="36"/>
      <c r="X858" s="36"/>
      <c r="Y858" s="36"/>
      <c r="Z858" s="37"/>
      <c r="AA858" s="52"/>
      <c r="AB858" s="50"/>
      <c r="AC858" s="50"/>
      <c r="AD858" s="51"/>
      <c r="AE858" s="52"/>
      <c r="AF858" s="36"/>
    </row>
    <row r="859" spans="2:32" ht="28.5" x14ac:dyDescent="0.3">
      <c r="B859" s="36"/>
      <c r="C859" s="36"/>
      <c r="E859" s="33">
        <v>1</v>
      </c>
      <c r="F859" s="70" t="s">
        <v>131</v>
      </c>
      <c r="G859" s="70" t="s">
        <v>131</v>
      </c>
      <c r="H859" s="33">
        <v>23</v>
      </c>
      <c r="I859" s="34">
        <v>8</v>
      </c>
      <c r="J859" s="36" t="s">
        <v>232</v>
      </c>
      <c r="K859" s="374" t="s">
        <v>290</v>
      </c>
      <c r="L859" s="375" t="s">
        <v>291</v>
      </c>
      <c r="M859" s="375" t="s">
        <v>292</v>
      </c>
      <c r="N859" s="36" t="s">
        <v>301</v>
      </c>
      <c r="O859" s="36" t="s">
        <v>301</v>
      </c>
      <c r="P859" s="50">
        <v>136387500</v>
      </c>
      <c r="Q859" s="36" t="s">
        <v>301</v>
      </c>
      <c r="R859" s="431">
        <f>P859+(P859*10%)</f>
        <v>150026250</v>
      </c>
      <c r="S859" s="36" t="s">
        <v>301</v>
      </c>
      <c r="T859" s="431">
        <f>R859+(R859*10%)</f>
        <v>165028875</v>
      </c>
      <c r="U859" s="36" t="s">
        <v>301</v>
      </c>
      <c r="V859" s="431">
        <f>T859+(T859*10%)</f>
        <v>181531762.5</v>
      </c>
      <c r="W859" s="36" t="s">
        <v>301</v>
      </c>
      <c r="X859" s="431">
        <f>V859+(V859*10%)</f>
        <v>199684938.75</v>
      </c>
      <c r="Y859" s="36" t="s">
        <v>301</v>
      </c>
      <c r="Z859" s="431">
        <f>X859+V859+T859+R859+P859</f>
        <v>832659326.25</v>
      </c>
      <c r="AA859" s="52" t="str">
        <f>AA852</f>
        <v>Dinas Dikpora</v>
      </c>
      <c r="AB859" s="50">
        <v>0</v>
      </c>
      <c r="AC859" s="50">
        <f>AB859</f>
        <v>0</v>
      </c>
      <c r="AD859" s="51" t="str">
        <f>AD869</f>
        <v>Dinas Dikpora</v>
      </c>
      <c r="AE859" s="52" t="str">
        <f>AE869</f>
        <v>Sedang berjalan</v>
      </c>
      <c r="AF859" s="36" t="s">
        <v>233</v>
      </c>
    </row>
    <row r="860" spans="2:32" x14ac:dyDescent="0.3">
      <c r="B860" s="36"/>
      <c r="C860" s="36"/>
      <c r="E860" s="33"/>
      <c r="F860" s="33"/>
      <c r="G860" s="33"/>
      <c r="H860" s="33"/>
      <c r="I860" s="33"/>
      <c r="J860" s="40"/>
      <c r="K860" s="374" t="s">
        <v>293</v>
      </c>
      <c r="L860" s="375" t="s">
        <v>291</v>
      </c>
      <c r="M860" s="362" t="s">
        <v>1361</v>
      </c>
      <c r="N860" s="36" t="s">
        <v>364</v>
      </c>
      <c r="O860" s="36" t="s">
        <v>364</v>
      </c>
      <c r="P860" s="50"/>
      <c r="Q860" s="36" t="s">
        <v>364</v>
      </c>
      <c r="R860" s="36"/>
      <c r="S860" s="36" t="s">
        <v>364</v>
      </c>
      <c r="T860" s="36"/>
      <c r="U860" s="36" t="s">
        <v>364</v>
      </c>
      <c r="V860" s="36"/>
      <c r="W860" s="36" t="s">
        <v>364</v>
      </c>
      <c r="X860" s="36"/>
      <c r="Y860" s="36" t="s">
        <v>364</v>
      </c>
      <c r="Z860" s="37"/>
      <c r="AA860" s="52"/>
      <c r="AB860" s="50"/>
      <c r="AC860" s="50"/>
      <c r="AD860" s="51"/>
      <c r="AE860" s="52"/>
      <c r="AF860" s="36"/>
    </row>
    <row r="861" spans="2:32" ht="28.5" x14ac:dyDescent="0.3">
      <c r="B861" s="36"/>
      <c r="C861" s="36"/>
      <c r="E861" s="33"/>
      <c r="F861" s="33"/>
      <c r="G861" s="33"/>
      <c r="H861" s="33"/>
      <c r="I861" s="33"/>
      <c r="J861" s="40"/>
      <c r="K861" s="374" t="s">
        <v>294</v>
      </c>
      <c r="L861" s="375" t="s">
        <v>291</v>
      </c>
      <c r="M861" s="362" t="s">
        <v>1530</v>
      </c>
      <c r="N861" s="41">
        <v>1</v>
      </c>
      <c r="O861" s="41">
        <v>1</v>
      </c>
      <c r="P861" s="50"/>
      <c r="Q861" s="41">
        <v>1</v>
      </c>
      <c r="R861" s="36"/>
      <c r="S861" s="41">
        <v>1</v>
      </c>
      <c r="T861" s="36"/>
      <c r="U861" s="41">
        <v>1</v>
      </c>
      <c r="V861" s="36"/>
      <c r="W861" s="41">
        <v>1</v>
      </c>
      <c r="X861" s="36"/>
      <c r="Y861" s="41">
        <v>1</v>
      </c>
      <c r="Z861" s="37"/>
      <c r="AA861" s="52"/>
      <c r="AB861" s="50"/>
      <c r="AC861" s="50"/>
      <c r="AD861" s="51"/>
      <c r="AE861" s="52"/>
      <c r="AF861" s="36"/>
    </row>
    <row r="862" spans="2:32" ht="28.5" x14ac:dyDescent="0.3">
      <c r="B862" s="36"/>
      <c r="C862" s="36"/>
      <c r="E862" s="33"/>
      <c r="F862" s="33"/>
      <c r="G862" s="33"/>
      <c r="H862" s="33"/>
      <c r="I862" s="33"/>
      <c r="J862" s="40"/>
      <c r="K862" s="374" t="s">
        <v>295</v>
      </c>
      <c r="L862" s="375" t="s">
        <v>291</v>
      </c>
      <c r="M862" s="400" t="s">
        <v>1531</v>
      </c>
      <c r="N862" s="36"/>
      <c r="O862" s="36"/>
      <c r="P862" s="50"/>
      <c r="Q862" s="36"/>
      <c r="R862" s="36"/>
      <c r="S862" s="36"/>
      <c r="T862" s="36"/>
      <c r="U862" s="36"/>
      <c r="V862" s="36"/>
      <c r="W862" s="36"/>
      <c r="X862" s="36"/>
      <c r="Y862" s="36"/>
      <c r="Z862" s="37"/>
      <c r="AA862" s="52"/>
      <c r="AB862" s="50"/>
      <c r="AC862" s="50"/>
      <c r="AD862" s="51"/>
      <c r="AE862" s="52"/>
      <c r="AF862" s="36"/>
    </row>
    <row r="863" spans="2:32" x14ac:dyDescent="0.3">
      <c r="B863" s="92"/>
      <c r="C863" s="92"/>
      <c r="D863" s="445"/>
      <c r="E863" s="91"/>
      <c r="F863" s="91"/>
      <c r="G863" s="91"/>
      <c r="H863" s="91"/>
      <c r="I863" s="91"/>
      <c r="J863" s="422"/>
      <c r="K863" s="377" t="s">
        <v>297</v>
      </c>
      <c r="L863" s="378" t="s">
        <v>291</v>
      </c>
      <c r="M863" s="385" t="s">
        <v>1532</v>
      </c>
      <c r="N863" s="92"/>
      <c r="O863" s="92"/>
      <c r="P863" s="93"/>
      <c r="Q863" s="92"/>
      <c r="R863" s="92"/>
      <c r="S863" s="92"/>
      <c r="T863" s="92"/>
      <c r="U863" s="92"/>
      <c r="V863" s="92"/>
      <c r="W863" s="92"/>
      <c r="X863" s="92"/>
      <c r="Y863" s="92"/>
      <c r="Z863" s="101"/>
      <c r="AA863" s="95"/>
      <c r="AB863" s="93"/>
      <c r="AC863" s="93"/>
      <c r="AD863" s="94"/>
      <c r="AE863" s="95"/>
      <c r="AF863" s="92"/>
    </row>
    <row r="864" spans="2:32" x14ac:dyDescent="0.3">
      <c r="B864" s="36"/>
      <c r="C864" s="36"/>
      <c r="E864" s="33"/>
      <c r="F864" s="33"/>
      <c r="G864" s="33"/>
      <c r="H864" s="33"/>
      <c r="I864" s="33"/>
      <c r="J864" s="40"/>
      <c r="K864" s="43"/>
      <c r="L864" s="368"/>
      <c r="M864" s="362"/>
      <c r="N864" s="36"/>
      <c r="O864" s="36"/>
      <c r="P864" s="50"/>
      <c r="Q864" s="36"/>
      <c r="R864" s="36"/>
      <c r="S864" s="36"/>
      <c r="T864" s="36"/>
      <c r="U864" s="36"/>
      <c r="V864" s="36"/>
      <c r="W864" s="36"/>
      <c r="X864" s="36"/>
      <c r="Y864" s="36"/>
      <c r="Z864" s="37"/>
      <c r="AA864" s="52"/>
      <c r="AB864" s="50"/>
      <c r="AC864" s="50"/>
      <c r="AD864" s="51"/>
      <c r="AE864" s="52"/>
      <c r="AF864" s="36"/>
    </row>
    <row r="865" spans="2:32" ht="28.5" x14ac:dyDescent="0.3">
      <c r="B865" s="36"/>
      <c r="C865" s="36"/>
      <c r="E865" s="33"/>
      <c r="F865" s="33"/>
      <c r="G865" s="33"/>
      <c r="H865" s="33"/>
      <c r="I865" s="33"/>
      <c r="J865" s="27" t="s">
        <v>130</v>
      </c>
      <c r="K865" s="35"/>
      <c r="L865" s="39"/>
      <c r="M865" s="362"/>
      <c r="N865" s="36"/>
      <c r="O865" s="36"/>
      <c r="P865" s="50"/>
      <c r="Q865" s="36"/>
      <c r="R865" s="36"/>
      <c r="S865" s="36"/>
      <c r="T865" s="36"/>
      <c r="U865" s="36"/>
      <c r="V865" s="36"/>
      <c r="W865" s="36"/>
      <c r="X865" s="36"/>
      <c r="Y865" s="36"/>
      <c r="Z865" s="37"/>
      <c r="AA865" s="52"/>
      <c r="AB865" s="50">
        <f>49120</f>
        <v>49120</v>
      </c>
      <c r="AC865" s="50">
        <f>AB865+(AB865*10%)</f>
        <v>54032</v>
      </c>
      <c r="AD865" s="51" t="s">
        <v>66</v>
      </c>
      <c r="AE865" s="52" t="s">
        <v>81</v>
      </c>
      <c r="AF865" s="36"/>
    </row>
    <row r="866" spans="2:32" x14ac:dyDescent="0.3">
      <c r="B866" s="36"/>
      <c r="C866" s="36"/>
      <c r="E866" s="26">
        <v>1</v>
      </c>
      <c r="F866" s="26">
        <v>18</v>
      </c>
      <c r="G866" s="26"/>
      <c r="H866" s="26"/>
      <c r="I866" s="26"/>
      <c r="J866" s="27" t="s">
        <v>234</v>
      </c>
      <c r="K866" s="35"/>
      <c r="L866" s="39"/>
      <c r="M866" s="362"/>
      <c r="N866" s="36"/>
      <c r="O866" s="36"/>
      <c r="P866" s="82"/>
      <c r="Q866" s="36"/>
      <c r="R866" s="36"/>
      <c r="S866" s="36"/>
      <c r="T866" s="36"/>
      <c r="U866" s="36"/>
      <c r="V866" s="36"/>
      <c r="W866" s="36"/>
      <c r="X866" s="36"/>
      <c r="Y866" s="36"/>
      <c r="Z866" s="430">
        <f>X866+V866+T866+R866+P866</f>
        <v>0</v>
      </c>
      <c r="AA866" s="75"/>
      <c r="AB866" s="50"/>
      <c r="AC866" s="50"/>
      <c r="AD866" s="51"/>
      <c r="AE866" s="52"/>
      <c r="AF866" s="27"/>
    </row>
    <row r="867" spans="2:32" ht="28.5" x14ac:dyDescent="0.3">
      <c r="B867" s="36"/>
      <c r="C867" s="36"/>
      <c r="E867" s="33"/>
      <c r="F867" s="33"/>
      <c r="G867" s="33"/>
      <c r="H867" s="33"/>
      <c r="I867" s="33"/>
      <c r="J867" s="36"/>
      <c r="K867" s="37"/>
      <c r="L867" s="46"/>
      <c r="M867" s="361"/>
      <c r="N867" s="27"/>
      <c r="O867" s="27"/>
      <c r="P867" s="50"/>
      <c r="Q867" s="27"/>
      <c r="R867" s="36"/>
      <c r="S867" s="27"/>
      <c r="T867" s="36"/>
      <c r="U867" s="27"/>
      <c r="V867" s="36"/>
      <c r="W867" s="27"/>
      <c r="X867" s="36"/>
      <c r="Y867" s="27"/>
      <c r="Z867" s="37"/>
      <c r="AA867" s="52"/>
      <c r="AB867" s="50">
        <v>108000</v>
      </c>
      <c r="AC867" s="50">
        <f>AB867+(AB867*10%)</f>
        <v>118800</v>
      </c>
      <c r="AD867" s="51" t="s">
        <v>66</v>
      </c>
      <c r="AE867" s="52" t="s">
        <v>81</v>
      </c>
      <c r="AF867" s="36"/>
    </row>
    <row r="868" spans="2:32" x14ac:dyDescent="0.3">
      <c r="B868" s="36"/>
      <c r="C868" s="36"/>
      <c r="E868" s="26"/>
      <c r="F868" s="26"/>
      <c r="G868" s="26"/>
      <c r="H868" s="26"/>
      <c r="I868" s="26"/>
      <c r="J868" s="27" t="s">
        <v>60</v>
      </c>
      <c r="K868" s="35"/>
      <c r="L868" s="39"/>
      <c r="M868" s="362"/>
      <c r="N868" s="36"/>
      <c r="O868" s="36"/>
      <c r="P868" s="82"/>
      <c r="Q868" s="36"/>
      <c r="R868" s="36"/>
      <c r="S868" s="36"/>
      <c r="T868" s="36"/>
      <c r="U868" s="36"/>
      <c r="V868" s="36"/>
      <c r="W868" s="36"/>
      <c r="X868" s="36"/>
      <c r="Y868" s="36"/>
      <c r="Z868" s="35"/>
      <c r="AA868" s="75"/>
      <c r="AB868" s="50"/>
      <c r="AC868" s="50"/>
      <c r="AD868" s="51"/>
      <c r="AE868" s="52"/>
      <c r="AF868" s="27"/>
    </row>
    <row r="869" spans="2:32" s="87" customFormat="1" ht="81" x14ac:dyDescent="0.25">
      <c r="B869" s="504" t="s">
        <v>1563</v>
      </c>
      <c r="C869" s="452" t="s">
        <v>1564</v>
      </c>
      <c r="D869" s="434"/>
      <c r="E869" s="26">
        <v>1</v>
      </c>
      <c r="F869" s="26">
        <v>18</v>
      </c>
      <c r="G869" s="69" t="s">
        <v>131</v>
      </c>
      <c r="H869" s="26">
        <v>15</v>
      </c>
      <c r="I869" s="26"/>
      <c r="J869" s="27" t="s">
        <v>235</v>
      </c>
      <c r="K869" s="496" t="s">
        <v>1362</v>
      </c>
      <c r="L869" s="497"/>
      <c r="M869" s="498"/>
      <c r="N869" s="372" t="s">
        <v>1181</v>
      </c>
      <c r="O869" s="372" t="s">
        <v>1181</v>
      </c>
      <c r="P869" s="82">
        <f t="shared" ref="P869:R869" si="34">SUM(P872:P909)</f>
        <v>2281951500</v>
      </c>
      <c r="Q869" s="372" t="s">
        <v>1181</v>
      </c>
      <c r="R869" s="82">
        <f t="shared" si="34"/>
        <v>2510146650</v>
      </c>
      <c r="S869" s="372" t="s">
        <v>1181</v>
      </c>
      <c r="T869" s="82">
        <f t="shared" ref="T869" si="35">SUM(T872:T909)</f>
        <v>2761161315</v>
      </c>
      <c r="U869" s="372" t="s">
        <v>1181</v>
      </c>
      <c r="V869" s="82">
        <f t="shared" ref="V869" si="36">SUM(V872:V909)</f>
        <v>3037277446.5</v>
      </c>
      <c r="W869" s="372" t="s">
        <v>1181</v>
      </c>
      <c r="X869" s="82">
        <f t="shared" ref="X869" si="37">SUM(X872:X909)</f>
        <v>3341005191.1500001</v>
      </c>
      <c r="Y869" s="372" t="s">
        <v>1181</v>
      </c>
      <c r="Z869" s="430">
        <f>X869+V869+T869+R869+P869</f>
        <v>13931542102.65</v>
      </c>
      <c r="AA869" s="75"/>
      <c r="AB869" s="82">
        <v>40000</v>
      </c>
      <c r="AC869" s="82">
        <f>AB869</f>
        <v>40000</v>
      </c>
      <c r="AD869" s="83" t="str">
        <f>AD834</f>
        <v>Dinas Dikpora</v>
      </c>
      <c r="AE869" s="75" t="str">
        <f>AE834</f>
        <v>Sedang berjalan</v>
      </c>
      <c r="AF869" s="27" t="s">
        <v>75</v>
      </c>
    </row>
    <row r="870" spans="2:32" x14ac:dyDescent="0.3">
      <c r="B870" s="504"/>
      <c r="C870" s="456"/>
      <c r="E870" s="26"/>
      <c r="F870" s="26"/>
      <c r="G870" s="26"/>
      <c r="H870" s="26"/>
      <c r="I870" s="26"/>
      <c r="J870" s="88"/>
      <c r="K870" s="407"/>
      <c r="L870" s="369"/>
      <c r="M870" s="362"/>
      <c r="N870" s="372"/>
      <c r="O870" s="372"/>
      <c r="P870" s="82"/>
      <c r="Q870" s="372"/>
      <c r="R870" s="36"/>
      <c r="S870" s="372"/>
      <c r="T870" s="36"/>
      <c r="U870" s="372"/>
      <c r="V870" s="36"/>
      <c r="W870" s="372"/>
      <c r="X870" s="36"/>
      <c r="Y870" s="372"/>
      <c r="Z870" s="37"/>
      <c r="AA870" s="75"/>
      <c r="AB870" s="50"/>
      <c r="AC870" s="50"/>
      <c r="AD870" s="51"/>
      <c r="AE870" s="52"/>
      <c r="AF870" s="27"/>
    </row>
    <row r="871" spans="2:32" ht="28.5" x14ac:dyDescent="0.3">
      <c r="B871" s="504"/>
      <c r="C871" s="456"/>
      <c r="E871" s="26"/>
      <c r="F871" s="26"/>
      <c r="G871" s="26"/>
      <c r="H871" s="26"/>
      <c r="I871" s="26"/>
      <c r="J871" s="27" t="s">
        <v>63</v>
      </c>
      <c r="K871" s="35"/>
      <c r="L871" s="39"/>
      <c r="M871" s="361"/>
      <c r="N871" s="27"/>
      <c r="O871" s="27"/>
      <c r="P871" s="82"/>
      <c r="Q871" s="27"/>
      <c r="R871" s="36"/>
      <c r="S871" s="27"/>
      <c r="T871" s="36"/>
      <c r="U871" s="27"/>
      <c r="V871" s="36"/>
      <c r="W871" s="27"/>
      <c r="X871" s="36"/>
      <c r="Y871" s="27"/>
      <c r="Z871" s="37"/>
      <c r="AA871" s="75"/>
      <c r="AB871" s="50">
        <v>49120</v>
      </c>
      <c r="AC871" s="50">
        <f>AB871+(AB871*10%)</f>
        <v>54032</v>
      </c>
      <c r="AD871" s="51" t="s">
        <v>66</v>
      </c>
      <c r="AE871" s="52" t="s">
        <v>81</v>
      </c>
      <c r="AF871" s="27"/>
    </row>
    <row r="872" spans="2:32" x14ac:dyDescent="0.3">
      <c r="B872" s="504"/>
      <c r="C872" s="456"/>
      <c r="E872" s="33">
        <v>1</v>
      </c>
      <c r="F872" s="33">
        <v>18</v>
      </c>
      <c r="G872" s="70" t="s">
        <v>131</v>
      </c>
      <c r="H872" s="33">
        <v>15</v>
      </c>
      <c r="I872" s="34">
        <v>1</v>
      </c>
      <c r="J872" s="36" t="s">
        <v>236</v>
      </c>
      <c r="K872" s="374" t="s">
        <v>290</v>
      </c>
      <c r="L872" s="375" t="s">
        <v>291</v>
      </c>
      <c r="M872" s="375" t="s">
        <v>292</v>
      </c>
      <c r="N872" s="36" t="s">
        <v>301</v>
      </c>
      <c r="O872" s="36" t="s">
        <v>301</v>
      </c>
      <c r="P872" s="50">
        <v>155204000</v>
      </c>
      <c r="Q872" s="36" t="s">
        <v>301</v>
      </c>
      <c r="R872" s="431">
        <f>P872+(P872*10%)</f>
        <v>170724400</v>
      </c>
      <c r="S872" s="36" t="s">
        <v>301</v>
      </c>
      <c r="T872" s="431">
        <f>R872+(R872*10%)</f>
        <v>187796840</v>
      </c>
      <c r="U872" s="36" t="s">
        <v>301</v>
      </c>
      <c r="V872" s="431">
        <f>T872+(T872*10%)</f>
        <v>206576524</v>
      </c>
      <c r="W872" s="36" t="s">
        <v>301</v>
      </c>
      <c r="X872" s="431">
        <f>V872+(V872*10%)</f>
        <v>227234176.40000001</v>
      </c>
      <c r="Y872" s="36" t="s">
        <v>301</v>
      </c>
      <c r="Z872" s="431">
        <f>X872+V872+T872+R872+P872</f>
        <v>947535940.39999998</v>
      </c>
      <c r="AA872" s="52" t="s">
        <v>66</v>
      </c>
      <c r="AB872" s="50"/>
      <c r="AC872" s="50"/>
      <c r="AD872" s="51"/>
      <c r="AE872" s="52"/>
      <c r="AF872" s="36" t="s">
        <v>237</v>
      </c>
    </row>
    <row r="873" spans="2:32" s="32" customFormat="1" ht="28.5" x14ac:dyDescent="0.25">
      <c r="B873" s="504"/>
      <c r="C873" s="462"/>
      <c r="D873" s="434"/>
      <c r="E873" s="33"/>
      <c r="F873" s="33"/>
      <c r="G873" s="33"/>
      <c r="H873" s="33"/>
      <c r="I873" s="33"/>
      <c r="J873" s="36"/>
      <c r="K873" s="374" t="s">
        <v>293</v>
      </c>
      <c r="L873" s="375" t="s">
        <v>291</v>
      </c>
      <c r="M873" s="362" t="s">
        <v>1363</v>
      </c>
      <c r="N873" s="36" t="s">
        <v>1182</v>
      </c>
      <c r="O873" s="36" t="s">
        <v>1182</v>
      </c>
      <c r="P873" s="50"/>
      <c r="Q873" s="36" t="s">
        <v>1182</v>
      </c>
      <c r="R873" s="27"/>
      <c r="S873" s="36" t="s">
        <v>1182</v>
      </c>
      <c r="T873" s="27"/>
      <c r="U873" s="36" t="s">
        <v>1182</v>
      </c>
      <c r="V873" s="27"/>
      <c r="W873" s="36" t="s">
        <v>1182</v>
      </c>
      <c r="X873" s="27"/>
      <c r="Y873" s="36" t="s">
        <v>1182</v>
      </c>
      <c r="Z873" s="35"/>
      <c r="AA873" s="52"/>
      <c r="AB873" s="82"/>
      <c r="AC873" s="82"/>
      <c r="AD873" s="83"/>
      <c r="AE873" s="75"/>
      <c r="AF873" s="36"/>
    </row>
    <row r="874" spans="2:32" s="32" customFormat="1" ht="28.5" x14ac:dyDescent="0.25">
      <c r="B874" s="504"/>
      <c r="C874" s="462"/>
      <c r="D874" s="434"/>
      <c r="E874" s="33"/>
      <c r="F874" s="33"/>
      <c r="G874" s="33"/>
      <c r="H874" s="33"/>
      <c r="I874" s="33"/>
      <c r="J874" s="36"/>
      <c r="K874" s="374" t="s">
        <v>294</v>
      </c>
      <c r="L874" s="375" t="s">
        <v>291</v>
      </c>
      <c r="M874" s="362" t="s">
        <v>1533</v>
      </c>
      <c r="N874" s="41">
        <v>1</v>
      </c>
      <c r="O874" s="41">
        <v>1</v>
      </c>
      <c r="P874" s="50"/>
      <c r="Q874" s="41">
        <v>1</v>
      </c>
      <c r="R874" s="27"/>
      <c r="S874" s="41">
        <v>1</v>
      </c>
      <c r="T874" s="27"/>
      <c r="U874" s="41">
        <v>1</v>
      </c>
      <c r="V874" s="27"/>
      <c r="W874" s="41">
        <v>1</v>
      </c>
      <c r="X874" s="27"/>
      <c r="Y874" s="41">
        <v>1</v>
      </c>
      <c r="Z874" s="35"/>
      <c r="AA874" s="52"/>
      <c r="AB874" s="82"/>
      <c r="AC874" s="82"/>
      <c r="AD874" s="83"/>
      <c r="AE874" s="75"/>
      <c r="AF874" s="36"/>
    </row>
    <row r="875" spans="2:32" s="32" customFormat="1" ht="28.5" x14ac:dyDescent="0.25">
      <c r="B875" s="504"/>
      <c r="C875" s="462"/>
      <c r="D875" s="434"/>
      <c r="E875" s="33"/>
      <c r="F875" s="33"/>
      <c r="G875" s="33"/>
      <c r="H875" s="33"/>
      <c r="I875" s="33"/>
      <c r="J875" s="36"/>
      <c r="K875" s="374" t="s">
        <v>295</v>
      </c>
      <c r="L875" s="375" t="s">
        <v>291</v>
      </c>
      <c r="M875" s="461" t="s">
        <v>913</v>
      </c>
      <c r="N875" s="36"/>
      <c r="O875" s="36"/>
      <c r="P875" s="50"/>
      <c r="Q875" s="36"/>
      <c r="R875" s="27"/>
      <c r="S875" s="36"/>
      <c r="T875" s="27"/>
      <c r="U875" s="36"/>
      <c r="V875" s="27"/>
      <c r="W875" s="36"/>
      <c r="X875" s="27"/>
      <c r="Y875" s="36"/>
      <c r="Z875" s="35"/>
      <c r="AA875" s="52"/>
      <c r="AB875" s="82"/>
      <c r="AC875" s="82"/>
      <c r="AD875" s="83"/>
      <c r="AE875" s="75"/>
      <c r="AF875" s="36"/>
    </row>
    <row r="876" spans="2:32" s="32" customFormat="1" x14ac:dyDescent="0.3">
      <c r="B876" s="505"/>
      <c r="C876" s="463"/>
      <c r="D876" s="439"/>
      <c r="E876" s="91"/>
      <c r="F876" s="91"/>
      <c r="G876" s="91"/>
      <c r="H876" s="91"/>
      <c r="I876" s="91"/>
      <c r="J876" s="92"/>
      <c r="K876" s="377" t="s">
        <v>297</v>
      </c>
      <c r="L876" s="378" t="s">
        <v>291</v>
      </c>
      <c r="M876" s="385" t="s">
        <v>869</v>
      </c>
      <c r="N876" s="92"/>
      <c r="O876" s="92"/>
      <c r="P876" s="93"/>
      <c r="Q876" s="92"/>
      <c r="R876" s="393"/>
      <c r="S876" s="92"/>
      <c r="T876" s="393"/>
      <c r="U876" s="92"/>
      <c r="V876" s="393"/>
      <c r="W876" s="92"/>
      <c r="X876" s="393"/>
      <c r="Y876" s="92"/>
      <c r="Z876" s="418"/>
      <c r="AA876" s="95"/>
      <c r="AB876" s="419"/>
      <c r="AC876" s="419"/>
      <c r="AD876" s="420"/>
      <c r="AE876" s="408"/>
      <c r="AF876" s="92"/>
    </row>
    <row r="877" spans="2:32" s="32" customFormat="1" ht="15" x14ac:dyDescent="0.25">
      <c r="B877" s="27"/>
      <c r="C877" s="27"/>
      <c r="D877" s="434"/>
      <c r="E877" s="33"/>
      <c r="F877" s="33"/>
      <c r="G877" s="33"/>
      <c r="H877" s="33"/>
      <c r="I877" s="33"/>
      <c r="J877" s="36"/>
      <c r="K877" s="37"/>
      <c r="L877" s="46"/>
      <c r="M877" s="362"/>
      <c r="N877" s="36"/>
      <c r="O877" s="36"/>
      <c r="P877" s="50"/>
      <c r="Q877" s="36"/>
      <c r="R877" s="27"/>
      <c r="S877" s="36"/>
      <c r="T877" s="27"/>
      <c r="U877" s="36"/>
      <c r="V877" s="27"/>
      <c r="W877" s="36"/>
      <c r="X877" s="27"/>
      <c r="Y877" s="36"/>
      <c r="Z877" s="35"/>
      <c r="AA877" s="52"/>
      <c r="AB877" s="82"/>
      <c r="AC877" s="82"/>
      <c r="AD877" s="83"/>
      <c r="AE877" s="75"/>
      <c r="AF877" s="36"/>
    </row>
    <row r="878" spans="2:32" s="32" customFormat="1" ht="15" x14ac:dyDescent="0.25">
      <c r="B878" s="36"/>
      <c r="C878" s="36"/>
      <c r="D878" s="434"/>
      <c r="E878" s="33">
        <v>1</v>
      </c>
      <c r="F878" s="33">
        <v>18</v>
      </c>
      <c r="G878" s="70" t="s">
        <v>131</v>
      </c>
      <c r="H878" s="33">
        <v>15</v>
      </c>
      <c r="I878" s="34">
        <v>2</v>
      </c>
      <c r="J878" s="36" t="s">
        <v>238</v>
      </c>
      <c r="K878" s="374" t="s">
        <v>290</v>
      </c>
      <c r="L878" s="375" t="s">
        <v>291</v>
      </c>
      <c r="M878" s="375" t="s">
        <v>292</v>
      </c>
      <c r="N878" s="36" t="s">
        <v>301</v>
      </c>
      <c r="O878" s="36" t="s">
        <v>301</v>
      </c>
      <c r="P878" s="50">
        <v>94927500</v>
      </c>
      <c r="Q878" s="36" t="s">
        <v>301</v>
      </c>
      <c r="R878" s="431">
        <f>P878+(P878*10%)</f>
        <v>104420250</v>
      </c>
      <c r="S878" s="36" t="s">
        <v>301</v>
      </c>
      <c r="T878" s="431">
        <f>R878+(R878*10%)</f>
        <v>114862275</v>
      </c>
      <c r="U878" s="36" t="s">
        <v>301</v>
      </c>
      <c r="V878" s="431">
        <f>T878+(T878*10%)</f>
        <v>126348502.5</v>
      </c>
      <c r="W878" s="36" t="s">
        <v>301</v>
      </c>
      <c r="X878" s="431">
        <f>V878+(V878*10%)</f>
        <v>138983352.75</v>
      </c>
      <c r="Y878" s="36" t="s">
        <v>301</v>
      </c>
      <c r="Z878" s="431">
        <f>X878+V878+T878+R878+P878</f>
        <v>579541880.25</v>
      </c>
      <c r="AA878" s="52" t="str">
        <f>AA902</f>
        <v>Dinas Dikpora</v>
      </c>
      <c r="AB878" s="82">
        <f>SUM(AB885:AB920)</f>
        <v>444133</v>
      </c>
      <c r="AC878" s="82">
        <f>SUM(AC885:AC920)</f>
        <v>671106.3</v>
      </c>
      <c r="AD878" s="83"/>
      <c r="AE878" s="75"/>
      <c r="AF878" s="36" t="s">
        <v>237</v>
      </c>
    </row>
    <row r="879" spans="2:32" ht="28.5" x14ac:dyDescent="0.3">
      <c r="B879" s="36"/>
      <c r="C879" s="36"/>
      <c r="E879" s="33"/>
      <c r="F879" s="33"/>
      <c r="G879" s="33"/>
      <c r="H879" s="33"/>
      <c r="I879" s="33"/>
      <c r="J879" s="36"/>
      <c r="K879" s="374" t="s">
        <v>293</v>
      </c>
      <c r="L879" s="375" t="s">
        <v>291</v>
      </c>
      <c r="M879" s="362" t="s">
        <v>1364</v>
      </c>
      <c r="N879" s="36" t="s">
        <v>890</v>
      </c>
      <c r="O879" s="36" t="s">
        <v>890</v>
      </c>
      <c r="P879" s="50"/>
      <c r="Q879" s="36" t="s">
        <v>890</v>
      </c>
      <c r="R879" s="36"/>
      <c r="S879" s="36" t="s">
        <v>890</v>
      </c>
      <c r="T879" s="36"/>
      <c r="U879" s="36" t="s">
        <v>890</v>
      </c>
      <c r="V879" s="36"/>
      <c r="W879" s="36" t="s">
        <v>890</v>
      </c>
      <c r="X879" s="36"/>
      <c r="Y879" s="36" t="s">
        <v>890</v>
      </c>
      <c r="Z879" s="37"/>
      <c r="AA879" s="52"/>
      <c r="AB879" s="50"/>
      <c r="AC879" s="50"/>
      <c r="AD879" s="51"/>
      <c r="AE879" s="52"/>
      <c r="AF879" s="36"/>
    </row>
    <row r="880" spans="2:32" ht="28.5" x14ac:dyDescent="0.3">
      <c r="B880" s="36"/>
      <c r="C880" s="36"/>
      <c r="E880" s="33"/>
      <c r="F880" s="33"/>
      <c r="G880" s="33"/>
      <c r="H880" s="33"/>
      <c r="I880" s="33"/>
      <c r="J880" s="36"/>
      <c r="K880" s="374" t="s">
        <v>294</v>
      </c>
      <c r="L880" s="375" t="s">
        <v>291</v>
      </c>
      <c r="M880" s="362" t="s">
        <v>1534</v>
      </c>
      <c r="N880" s="89">
        <v>1</v>
      </c>
      <c r="O880" s="89">
        <v>1</v>
      </c>
      <c r="P880" s="50"/>
      <c r="Q880" s="89">
        <v>1</v>
      </c>
      <c r="R880" s="36"/>
      <c r="S880" s="89">
        <v>1</v>
      </c>
      <c r="T880" s="36"/>
      <c r="U880" s="89">
        <v>1</v>
      </c>
      <c r="V880" s="36"/>
      <c r="W880" s="89">
        <v>1</v>
      </c>
      <c r="X880" s="36"/>
      <c r="Y880" s="89">
        <v>1</v>
      </c>
      <c r="Z880" s="37"/>
      <c r="AA880" s="52"/>
      <c r="AB880" s="50"/>
      <c r="AC880" s="50"/>
      <c r="AD880" s="51"/>
      <c r="AE880" s="52"/>
      <c r="AF880" s="36"/>
    </row>
    <row r="881" spans="2:32" x14ac:dyDescent="0.3">
      <c r="B881" s="36"/>
      <c r="C881" s="36"/>
      <c r="E881" s="33"/>
      <c r="F881" s="33"/>
      <c r="G881" s="33"/>
      <c r="H881" s="33"/>
      <c r="I881" s="33"/>
      <c r="J881" s="36"/>
      <c r="K881" s="374" t="s">
        <v>295</v>
      </c>
      <c r="L881" s="375" t="s">
        <v>291</v>
      </c>
      <c r="M881" s="384" t="s">
        <v>1535</v>
      </c>
      <c r="N881" s="36"/>
      <c r="O881" s="36"/>
      <c r="P881" s="50"/>
      <c r="Q881" s="36"/>
      <c r="R881" s="36"/>
      <c r="S881" s="36"/>
      <c r="T881" s="36"/>
      <c r="U881" s="36"/>
      <c r="V881" s="36"/>
      <c r="W881" s="36"/>
      <c r="X881" s="36"/>
      <c r="Y881" s="36"/>
      <c r="Z881" s="37"/>
      <c r="AA881" s="52"/>
      <c r="AB881" s="50"/>
      <c r="AC881" s="50"/>
      <c r="AD881" s="51"/>
      <c r="AE881" s="52"/>
      <c r="AF881" s="36"/>
    </row>
    <row r="882" spans="2:32" x14ac:dyDescent="0.3">
      <c r="B882" s="92"/>
      <c r="C882" s="92"/>
      <c r="D882" s="445"/>
      <c r="E882" s="91"/>
      <c r="F882" s="91"/>
      <c r="G882" s="91"/>
      <c r="H882" s="91"/>
      <c r="I882" s="91"/>
      <c r="J882" s="92"/>
      <c r="K882" s="377" t="s">
        <v>297</v>
      </c>
      <c r="L882" s="378" t="s">
        <v>291</v>
      </c>
      <c r="M882" s="385" t="s">
        <v>861</v>
      </c>
      <c r="N882" s="92"/>
      <c r="O882" s="92"/>
      <c r="P882" s="93"/>
      <c r="Q882" s="92"/>
      <c r="R882" s="92"/>
      <c r="S882" s="92"/>
      <c r="T882" s="92"/>
      <c r="U882" s="92"/>
      <c r="V882" s="92"/>
      <c r="W882" s="92"/>
      <c r="X882" s="92"/>
      <c r="Y882" s="92"/>
      <c r="Z882" s="101"/>
      <c r="AA882" s="95"/>
      <c r="AB882" s="93"/>
      <c r="AC882" s="93"/>
      <c r="AD882" s="94"/>
      <c r="AE882" s="95"/>
      <c r="AF882" s="92"/>
    </row>
    <row r="883" spans="2:32" x14ac:dyDescent="0.3">
      <c r="B883" s="36"/>
      <c r="C883" s="36"/>
      <c r="E883" s="33"/>
      <c r="F883" s="33"/>
      <c r="G883" s="33"/>
      <c r="H883" s="33"/>
      <c r="I883" s="33"/>
      <c r="J883" s="36"/>
      <c r="K883" s="374"/>
      <c r="L883" s="375"/>
      <c r="M883" s="362"/>
      <c r="N883" s="36"/>
      <c r="O883" s="36"/>
      <c r="P883" s="50"/>
      <c r="Q883" s="36"/>
      <c r="R883" s="36"/>
      <c r="S883" s="36"/>
      <c r="T883" s="36"/>
      <c r="U883" s="36"/>
      <c r="V883" s="36"/>
      <c r="W883" s="36"/>
      <c r="X883" s="36"/>
      <c r="Y883" s="36"/>
      <c r="Z883" s="37"/>
      <c r="AA883" s="52"/>
      <c r="AB883" s="50"/>
      <c r="AC883" s="50"/>
      <c r="AD883" s="51"/>
      <c r="AE883" s="52"/>
      <c r="AF883" s="36"/>
    </row>
    <row r="884" spans="2:32" s="32" customFormat="1" ht="15" x14ac:dyDescent="0.25">
      <c r="B884" s="27"/>
      <c r="C884" s="27"/>
      <c r="D884" s="434"/>
      <c r="E884" s="33">
        <v>1</v>
      </c>
      <c r="F884" s="33">
        <v>18</v>
      </c>
      <c r="G884" s="70" t="s">
        <v>131</v>
      </c>
      <c r="H884" s="33">
        <v>15</v>
      </c>
      <c r="I884" s="34">
        <v>3</v>
      </c>
      <c r="J884" s="36" t="s">
        <v>1078</v>
      </c>
      <c r="K884" s="374" t="s">
        <v>290</v>
      </c>
      <c r="L884" s="375" t="s">
        <v>291</v>
      </c>
      <c r="M884" s="375" t="s">
        <v>292</v>
      </c>
      <c r="N884" s="36" t="s">
        <v>301</v>
      </c>
      <c r="O884" s="36" t="s">
        <v>301</v>
      </c>
      <c r="P884" s="50">
        <v>73350000</v>
      </c>
      <c r="Q884" s="36" t="s">
        <v>301</v>
      </c>
      <c r="R884" s="431">
        <f>P884+(P884*10%)</f>
        <v>80685000</v>
      </c>
      <c r="S884" s="36" t="s">
        <v>301</v>
      </c>
      <c r="T884" s="431">
        <f>R884+(R884*10%)</f>
        <v>88753500</v>
      </c>
      <c r="U884" s="36" t="s">
        <v>301</v>
      </c>
      <c r="V884" s="431">
        <f>T884+(T884*10%)</f>
        <v>97628850</v>
      </c>
      <c r="W884" s="36" t="s">
        <v>301</v>
      </c>
      <c r="X884" s="431">
        <f>V884+(V884*10%)</f>
        <v>107391735</v>
      </c>
      <c r="Y884" s="36" t="s">
        <v>301</v>
      </c>
      <c r="Z884" s="431">
        <f>X884+V884+T884+R884+P884</f>
        <v>447809085</v>
      </c>
      <c r="AA884" s="52" t="str">
        <f>AA878</f>
        <v>Dinas Dikpora</v>
      </c>
      <c r="AB884" s="82"/>
      <c r="AC884" s="82"/>
      <c r="AD884" s="83"/>
      <c r="AE884" s="75"/>
      <c r="AF884" s="36" t="s">
        <v>239</v>
      </c>
    </row>
    <row r="885" spans="2:32" s="32" customFormat="1" ht="28.5" x14ac:dyDescent="0.25">
      <c r="B885" s="36"/>
      <c r="C885" s="36"/>
      <c r="D885" s="434"/>
      <c r="E885" s="33"/>
      <c r="F885" s="33"/>
      <c r="G885" s="33"/>
      <c r="H885" s="33"/>
      <c r="I885" s="33"/>
      <c r="J885" s="36"/>
      <c r="K885" s="374" t="s">
        <v>293</v>
      </c>
      <c r="L885" s="375" t="s">
        <v>291</v>
      </c>
      <c r="M885" s="362" t="s">
        <v>1365</v>
      </c>
      <c r="N885" s="36" t="s">
        <v>892</v>
      </c>
      <c r="O885" s="36" t="s">
        <v>892</v>
      </c>
      <c r="P885" s="50"/>
      <c r="Q885" s="36" t="s">
        <v>892</v>
      </c>
      <c r="R885" s="36"/>
      <c r="S885" s="36" t="s">
        <v>892</v>
      </c>
      <c r="T885" s="36"/>
      <c r="U885" s="36" t="s">
        <v>892</v>
      </c>
      <c r="V885" s="36"/>
      <c r="W885" s="36" t="s">
        <v>892</v>
      </c>
      <c r="X885" s="36"/>
      <c r="Y885" s="36" t="s">
        <v>892</v>
      </c>
      <c r="Z885" s="37"/>
      <c r="AA885" s="52"/>
      <c r="AB885" s="50">
        <v>10000</v>
      </c>
      <c r="AC885" s="50">
        <f>AB885+(AB885*10%)</f>
        <v>11000</v>
      </c>
      <c r="AD885" s="51" t="str">
        <f>AD971</f>
        <v>Dinas Dikpora</v>
      </c>
      <c r="AE885" s="52" t="s">
        <v>81</v>
      </c>
      <c r="AF885" s="36"/>
    </row>
    <row r="886" spans="2:32" s="32" customFormat="1" ht="28.5" x14ac:dyDescent="0.25">
      <c r="B886" s="36"/>
      <c r="C886" s="36"/>
      <c r="D886" s="434"/>
      <c r="E886" s="33"/>
      <c r="F886" s="33"/>
      <c r="G886" s="33"/>
      <c r="H886" s="33"/>
      <c r="I886" s="33"/>
      <c r="J886" s="36"/>
      <c r="K886" s="374" t="s">
        <v>294</v>
      </c>
      <c r="L886" s="375" t="s">
        <v>291</v>
      </c>
      <c r="M886" s="362" t="s">
        <v>1536</v>
      </c>
      <c r="N886" s="41">
        <v>1</v>
      </c>
      <c r="O886" s="41">
        <v>1</v>
      </c>
      <c r="P886" s="50"/>
      <c r="Q886" s="41">
        <v>1</v>
      </c>
      <c r="R886" s="36"/>
      <c r="S886" s="41">
        <v>1</v>
      </c>
      <c r="T886" s="36"/>
      <c r="U886" s="41">
        <v>1</v>
      </c>
      <c r="V886" s="36"/>
      <c r="W886" s="41">
        <v>1</v>
      </c>
      <c r="X886" s="36"/>
      <c r="Y886" s="41">
        <v>1</v>
      </c>
      <c r="Z886" s="37"/>
      <c r="AA886" s="52"/>
      <c r="AB886" s="50"/>
      <c r="AC886" s="50"/>
      <c r="AD886" s="51"/>
      <c r="AE886" s="52"/>
      <c r="AF886" s="36"/>
    </row>
    <row r="887" spans="2:32" s="32" customFormat="1" x14ac:dyDescent="0.3">
      <c r="B887" s="36"/>
      <c r="C887" s="36"/>
      <c r="D887" s="434"/>
      <c r="E887" s="33"/>
      <c r="F887" s="33"/>
      <c r="G887" s="33"/>
      <c r="H887" s="33"/>
      <c r="I887" s="33"/>
      <c r="J887" s="36"/>
      <c r="K887" s="374" t="s">
        <v>295</v>
      </c>
      <c r="L887" s="375" t="s">
        <v>291</v>
      </c>
      <c r="M887" s="384" t="s">
        <v>1535</v>
      </c>
      <c r="N887" s="36"/>
      <c r="O887" s="36"/>
      <c r="P887" s="50"/>
      <c r="Q887" s="36"/>
      <c r="R887" s="36"/>
      <c r="S887" s="36"/>
      <c r="T887" s="36"/>
      <c r="U887" s="36"/>
      <c r="V887" s="36"/>
      <c r="W887" s="36"/>
      <c r="X887" s="36"/>
      <c r="Y887" s="36"/>
      <c r="Z887" s="37"/>
      <c r="AA887" s="52"/>
      <c r="AB887" s="50"/>
      <c r="AC887" s="50"/>
      <c r="AD887" s="51"/>
      <c r="AE887" s="52"/>
      <c r="AF887" s="36"/>
    </row>
    <row r="888" spans="2:32" s="32" customFormat="1" x14ac:dyDescent="0.3">
      <c r="B888" s="92"/>
      <c r="C888" s="92"/>
      <c r="D888" s="439"/>
      <c r="E888" s="91"/>
      <c r="F888" s="91"/>
      <c r="G888" s="91"/>
      <c r="H888" s="91"/>
      <c r="I888" s="91"/>
      <c r="J888" s="92"/>
      <c r="K888" s="377" t="s">
        <v>297</v>
      </c>
      <c r="L888" s="378" t="s">
        <v>291</v>
      </c>
      <c r="M888" s="385" t="s">
        <v>861</v>
      </c>
      <c r="N888" s="92"/>
      <c r="O888" s="92"/>
      <c r="P888" s="93"/>
      <c r="Q888" s="92"/>
      <c r="R888" s="92"/>
      <c r="S888" s="92"/>
      <c r="T888" s="92"/>
      <c r="U888" s="92"/>
      <c r="V888" s="92"/>
      <c r="W888" s="92"/>
      <c r="X888" s="92"/>
      <c r="Y888" s="92"/>
      <c r="Z888" s="101"/>
      <c r="AA888" s="95"/>
      <c r="AB888" s="93"/>
      <c r="AC888" s="93"/>
      <c r="AD888" s="94"/>
      <c r="AE888" s="95"/>
      <c r="AF888" s="92"/>
    </row>
    <row r="889" spans="2:32" s="32" customFormat="1" ht="15" x14ac:dyDescent="0.25">
      <c r="B889" s="36"/>
      <c r="C889" s="36"/>
      <c r="D889" s="434"/>
      <c r="E889" s="33"/>
      <c r="F889" s="33"/>
      <c r="G889" s="33"/>
      <c r="H889" s="33"/>
      <c r="I889" s="33"/>
      <c r="J889" s="36"/>
      <c r="K889" s="374"/>
      <c r="L889" s="375"/>
      <c r="M889" s="362"/>
      <c r="N889" s="36"/>
      <c r="O889" s="36"/>
      <c r="P889" s="50"/>
      <c r="Q889" s="36"/>
      <c r="R889" s="36"/>
      <c r="S889" s="36"/>
      <c r="T889" s="36"/>
      <c r="U889" s="36"/>
      <c r="V889" s="36"/>
      <c r="W889" s="36"/>
      <c r="X889" s="36"/>
      <c r="Y889" s="36"/>
      <c r="Z889" s="37"/>
      <c r="AA889" s="52"/>
      <c r="AB889" s="50"/>
      <c r="AC889" s="50"/>
      <c r="AD889" s="51"/>
      <c r="AE889" s="52"/>
      <c r="AF889" s="36"/>
    </row>
    <row r="890" spans="2:32" s="72" customFormat="1" x14ac:dyDescent="0.3">
      <c r="B890" s="36"/>
      <c r="C890" s="36"/>
      <c r="D890" s="433"/>
      <c r="E890" s="33">
        <v>1</v>
      </c>
      <c r="F890" s="33">
        <v>18</v>
      </c>
      <c r="G890" s="70" t="s">
        <v>131</v>
      </c>
      <c r="H890" s="33">
        <v>15</v>
      </c>
      <c r="I890" s="34">
        <v>4</v>
      </c>
      <c r="J890" s="36" t="s">
        <v>240</v>
      </c>
      <c r="K890" s="374" t="s">
        <v>290</v>
      </c>
      <c r="L890" s="375" t="s">
        <v>291</v>
      </c>
      <c r="M890" s="375" t="s">
        <v>292</v>
      </c>
      <c r="N890" s="36" t="s">
        <v>301</v>
      </c>
      <c r="O890" s="36" t="s">
        <v>301</v>
      </c>
      <c r="P890" s="50">
        <v>852520000</v>
      </c>
      <c r="Q890" s="36" t="s">
        <v>301</v>
      </c>
      <c r="R890" s="431">
        <f>P890+(P890*10%)</f>
        <v>937772000</v>
      </c>
      <c r="S890" s="36" t="s">
        <v>301</v>
      </c>
      <c r="T890" s="431">
        <f>R890+(R890*10%)</f>
        <v>1031549200</v>
      </c>
      <c r="U890" s="36" t="s">
        <v>301</v>
      </c>
      <c r="V890" s="431">
        <f>T890+(T890*10%)</f>
        <v>1134704120</v>
      </c>
      <c r="W890" s="36" t="s">
        <v>301</v>
      </c>
      <c r="X890" s="431">
        <f>V890+(V890*10%)</f>
        <v>1248174532</v>
      </c>
      <c r="Y890" s="36" t="s">
        <v>301</v>
      </c>
      <c r="Z890" s="431">
        <f>X890+V890+T890+R890+P890</f>
        <v>5204719852</v>
      </c>
      <c r="AA890" s="52" t="str">
        <f>AA884</f>
        <v>Dinas Dikpora</v>
      </c>
      <c r="AB890" s="50"/>
      <c r="AC890" s="50"/>
      <c r="AD890" s="51"/>
      <c r="AE890" s="52"/>
      <c r="AF890" s="36" t="s">
        <v>239</v>
      </c>
    </row>
    <row r="891" spans="2:32" ht="28.5" x14ac:dyDescent="0.3">
      <c r="B891" s="36"/>
      <c r="C891" s="36"/>
      <c r="E891" s="33"/>
      <c r="F891" s="33"/>
      <c r="G891" s="33"/>
      <c r="H891" s="33"/>
      <c r="I891" s="33"/>
      <c r="J891" s="40"/>
      <c r="K891" s="374" t="s">
        <v>293</v>
      </c>
      <c r="L891" s="375" t="s">
        <v>291</v>
      </c>
      <c r="M891" s="362" t="s">
        <v>1366</v>
      </c>
      <c r="N891" s="36" t="s">
        <v>1183</v>
      </c>
      <c r="O891" s="36" t="s">
        <v>1183</v>
      </c>
      <c r="P891" s="50"/>
      <c r="Q891" s="36" t="s">
        <v>1183</v>
      </c>
      <c r="R891" s="36"/>
      <c r="S891" s="36" t="s">
        <v>1183</v>
      </c>
      <c r="T891" s="36"/>
      <c r="U891" s="36" t="s">
        <v>1183</v>
      </c>
      <c r="V891" s="36"/>
      <c r="W891" s="36" t="s">
        <v>1183</v>
      </c>
      <c r="X891" s="36"/>
      <c r="Y891" s="36" t="s">
        <v>1183</v>
      </c>
      <c r="Z891" s="37"/>
      <c r="AA891" s="52"/>
      <c r="AB891" s="50">
        <v>52000</v>
      </c>
      <c r="AC891" s="50">
        <f>AB891+(AB891*10%)</f>
        <v>57200</v>
      </c>
      <c r="AD891" s="51" t="str">
        <f>AD885</f>
        <v>Dinas Dikpora</v>
      </c>
      <c r="AE891" s="52" t="s">
        <v>81</v>
      </c>
      <c r="AF891" s="36"/>
    </row>
    <row r="892" spans="2:32" ht="28.5" x14ac:dyDescent="0.3">
      <c r="B892" s="36"/>
      <c r="C892" s="36"/>
      <c r="E892" s="33"/>
      <c r="F892" s="33"/>
      <c r="G892" s="33"/>
      <c r="H892" s="33"/>
      <c r="I892" s="33"/>
      <c r="J892" s="40"/>
      <c r="K892" s="374" t="s">
        <v>294</v>
      </c>
      <c r="L892" s="375" t="s">
        <v>291</v>
      </c>
      <c r="M892" s="362" t="s">
        <v>1537</v>
      </c>
      <c r="N892" s="41">
        <v>1</v>
      </c>
      <c r="O892" s="41">
        <v>1</v>
      </c>
      <c r="P892" s="50"/>
      <c r="Q892" s="41">
        <v>1</v>
      </c>
      <c r="R892" s="36"/>
      <c r="S892" s="41">
        <v>1</v>
      </c>
      <c r="T892" s="36"/>
      <c r="U892" s="41">
        <v>1</v>
      </c>
      <c r="V892" s="36"/>
      <c r="W892" s="41">
        <v>1</v>
      </c>
      <c r="X892" s="36"/>
      <c r="Y892" s="41">
        <v>1</v>
      </c>
      <c r="Z892" s="37"/>
      <c r="AA892" s="52"/>
      <c r="AB892" s="50"/>
      <c r="AC892" s="50"/>
      <c r="AD892" s="51"/>
      <c r="AE892" s="52"/>
      <c r="AF892" s="36"/>
    </row>
    <row r="893" spans="2:32" ht="42.75" x14ac:dyDescent="0.3">
      <c r="B893" s="36"/>
      <c r="C893" s="36"/>
      <c r="E893" s="33"/>
      <c r="F893" s="33"/>
      <c r="G893" s="33"/>
      <c r="H893" s="33"/>
      <c r="I893" s="33"/>
      <c r="J893" s="40"/>
      <c r="K893" s="374" t="s">
        <v>295</v>
      </c>
      <c r="L893" s="375" t="s">
        <v>291</v>
      </c>
      <c r="M893" s="400" t="s">
        <v>1538</v>
      </c>
      <c r="N893" s="36"/>
      <c r="O893" s="36"/>
      <c r="P893" s="50"/>
      <c r="Q893" s="36"/>
      <c r="R893" s="36"/>
      <c r="S893" s="36"/>
      <c r="T893" s="36"/>
      <c r="U893" s="36"/>
      <c r="V893" s="36"/>
      <c r="W893" s="36"/>
      <c r="X893" s="36"/>
      <c r="Y893" s="36"/>
      <c r="Z893" s="37"/>
      <c r="AA893" s="52"/>
      <c r="AB893" s="50"/>
      <c r="AC893" s="50"/>
      <c r="AD893" s="51"/>
      <c r="AE893" s="52"/>
      <c r="AF893" s="36"/>
    </row>
    <row r="894" spans="2:32" x14ac:dyDescent="0.3">
      <c r="B894" s="92"/>
      <c r="C894" s="92"/>
      <c r="D894" s="445"/>
      <c r="E894" s="91"/>
      <c r="F894" s="91"/>
      <c r="G894" s="91"/>
      <c r="H894" s="91"/>
      <c r="I894" s="91"/>
      <c r="J894" s="422"/>
      <c r="K894" s="377" t="s">
        <v>297</v>
      </c>
      <c r="L894" s="378" t="s">
        <v>291</v>
      </c>
      <c r="M894" s="385" t="s">
        <v>1539</v>
      </c>
      <c r="N894" s="92"/>
      <c r="O894" s="92"/>
      <c r="P894" s="93"/>
      <c r="Q894" s="92"/>
      <c r="R894" s="92"/>
      <c r="S894" s="92"/>
      <c r="T894" s="92"/>
      <c r="U894" s="92"/>
      <c r="V894" s="92"/>
      <c r="W894" s="92"/>
      <c r="X894" s="92"/>
      <c r="Y894" s="92"/>
      <c r="Z894" s="101"/>
      <c r="AA894" s="95"/>
      <c r="AB894" s="93"/>
      <c r="AC894" s="93"/>
      <c r="AD894" s="94"/>
      <c r="AE894" s="95"/>
      <c r="AF894" s="92"/>
    </row>
    <row r="895" spans="2:32" x14ac:dyDescent="0.3">
      <c r="B895" s="36"/>
      <c r="C895" s="36"/>
      <c r="E895" s="33"/>
      <c r="F895" s="33"/>
      <c r="G895" s="33"/>
      <c r="H895" s="33"/>
      <c r="I895" s="33"/>
      <c r="J895" s="40"/>
      <c r="K895" s="43"/>
      <c r="L895" s="368"/>
      <c r="M895" s="362"/>
      <c r="N895" s="36"/>
      <c r="O895" s="36"/>
      <c r="P895" s="50"/>
      <c r="Q895" s="36"/>
      <c r="R895" s="36"/>
      <c r="S895" s="36"/>
      <c r="T895" s="36"/>
      <c r="U895" s="36"/>
      <c r="V895" s="36"/>
      <c r="W895" s="36"/>
      <c r="X895" s="36"/>
      <c r="Y895" s="36"/>
      <c r="Z895" s="37"/>
      <c r="AA895" s="52"/>
      <c r="AB895" s="50"/>
      <c r="AC895" s="50"/>
      <c r="AD895" s="51"/>
      <c r="AE895" s="52"/>
      <c r="AF895" s="36"/>
    </row>
    <row r="896" spans="2:32" x14ac:dyDescent="0.3">
      <c r="B896" s="36"/>
      <c r="C896" s="36"/>
      <c r="E896" s="33">
        <v>1</v>
      </c>
      <c r="F896" s="33">
        <v>18</v>
      </c>
      <c r="G896" s="70" t="s">
        <v>131</v>
      </c>
      <c r="H896" s="33">
        <v>15</v>
      </c>
      <c r="I896" s="34">
        <v>5</v>
      </c>
      <c r="J896" s="36" t="s">
        <v>241</v>
      </c>
      <c r="K896" s="374" t="s">
        <v>290</v>
      </c>
      <c r="L896" s="375" t="s">
        <v>291</v>
      </c>
      <c r="M896" s="375" t="s">
        <v>292</v>
      </c>
      <c r="N896" s="36" t="s">
        <v>301</v>
      </c>
      <c r="O896" s="36" t="s">
        <v>301</v>
      </c>
      <c r="P896" s="50">
        <v>111305000</v>
      </c>
      <c r="Q896" s="36" t="s">
        <v>301</v>
      </c>
      <c r="R896" s="431">
        <f>P896+(P896*10%)</f>
        <v>122435500</v>
      </c>
      <c r="S896" s="36" t="s">
        <v>301</v>
      </c>
      <c r="T896" s="431">
        <f>R896+(R896*10%)</f>
        <v>134679050</v>
      </c>
      <c r="U896" s="36" t="s">
        <v>301</v>
      </c>
      <c r="V896" s="431">
        <f>T896+(T896*10%)</f>
        <v>148146955</v>
      </c>
      <c r="W896" s="36" t="s">
        <v>301</v>
      </c>
      <c r="X896" s="431">
        <f>V896+(V896*10%)</f>
        <v>162961650.5</v>
      </c>
      <c r="Y896" s="36" t="s">
        <v>301</v>
      </c>
      <c r="Z896" s="431">
        <f>X896+V896+T896+R896+P896</f>
        <v>679528155.5</v>
      </c>
      <c r="AA896" s="52" t="str">
        <f>AA890</f>
        <v>Dinas Dikpora</v>
      </c>
      <c r="AB896" s="50"/>
      <c r="AC896" s="50"/>
      <c r="AD896" s="51"/>
      <c r="AE896" s="52"/>
      <c r="AF896" s="36" t="s">
        <v>146</v>
      </c>
    </row>
    <row r="897" spans="2:32" ht="57" x14ac:dyDescent="0.3">
      <c r="B897" s="36"/>
      <c r="C897" s="36"/>
      <c r="E897" s="33"/>
      <c r="F897" s="33"/>
      <c r="G897" s="70"/>
      <c r="H897" s="33"/>
      <c r="I897" s="70"/>
      <c r="J897" s="36"/>
      <c r="K897" s="374" t="s">
        <v>293</v>
      </c>
      <c r="L897" s="375" t="s">
        <v>291</v>
      </c>
      <c r="M897" s="362" t="s">
        <v>895</v>
      </c>
      <c r="N897" s="36" t="s">
        <v>896</v>
      </c>
      <c r="O897" s="36" t="s">
        <v>896</v>
      </c>
      <c r="P897" s="50"/>
      <c r="Q897" s="36" t="s">
        <v>896</v>
      </c>
      <c r="R897" s="36"/>
      <c r="S897" s="36" t="s">
        <v>896</v>
      </c>
      <c r="T897" s="36"/>
      <c r="U897" s="36" t="s">
        <v>896</v>
      </c>
      <c r="V897" s="36"/>
      <c r="W897" s="36" t="s">
        <v>896</v>
      </c>
      <c r="X897" s="36"/>
      <c r="Y897" s="36" t="s">
        <v>896</v>
      </c>
      <c r="Z897" s="37"/>
      <c r="AA897" s="52"/>
      <c r="AB897" s="50">
        <v>61133</v>
      </c>
      <c r="AC897" s="50">
        <v>67246.3</v>
      </c>
      <c r="AD897" s="51" t="s">
        <v>66</v>
      </c>
      <c r="AE897" s="52" t="s">
        <v>67</v>
      </c>
      <c r="AF897" s="36"/>
    </row>
    <row r="898" spans="2:32" ht="42.75" x14ac:dyDescent="0.3">
      <c r="B898" s="36"/>
      <c r="C898" s="36"/>
      <c r="E898" s="33"/>
      <c r="F898" s="33"/>
      <c r="G898" s="70"/>
      <c r="H898" s="33"/>
      <c r="I898" s="70"/>
      <c r="J898" s="36"/>
      <c r="K898" s="374" t="s">
        <v>294</v>
      </c>
      <c r="L898" s="375" t="s">
        <v>291</v>
      </c>
      <c r="M898" s="362" t="s">
        <v>1540</v>
      </c>
      <c r="N898" s="41">
        <v>1</v>
      </c>
      <c r="O898" s="41">
        <v>1</v>
      </c>
      <c r="P898" s="50"/>
      <c r="Q898" s="41">
        <v>1</v>
      </c>
      <c r="R898" s="36"/>
      <c r="S898" s="41">
        <v>1</v>
      </c>
      <c r="T898" s="36"/>
      <c r="U898" s="41">
        <v>1</v>
      </c>
      <c r="V898" s="36"/>
      <c r="W898" s="41">
        <v>1</v>
      </c>
      <c r="X898" s="36"/>
      <c r="Y898" s="41">
        <v>1</v>
      </c>
      <c r="Z898" s="37"/>
      <c r="AA898" s="52"/>
      <c r="AB898" s="50"/>
      <c r="AC898" s="50"/>
      <c r="AD898" s="51"/>
      <c r="AE898" s="52"/>
      <c r="AF898" s="36"/>
    </row>
    <row r="899" spans="2:32" ht="28.5" x14ac:dyDescent="0.3">
      <c r="B899" s="36"/>
      <c r="C899" s="36"/>
      <c r="E899" s="33"/>
      <c r="F899" s="33"/>
      <c r="G899" s="70"/>
      <c r="H899" s="33"/>
      <c r="I899" s="70"/>
      <c r="J899" s="36"/>
      <c r="K899" s="374" t="s">
        <v>295</v>
      </c>
      <c r="L899" s="375" t="s">
        <v>291</v>
      </c>
      <c r="M899" s="400" t="s">
        <v>1541</v>
      </c>
      <c r="N899" s="36"/>
      <c r="O899" s="36"/>
      <c r="P899" s="50"/>
      <c r="Q899" s="36"/>
      <c r="R899" s="36"/>
      <c r="S899" s="36"/>
      <c r="T899" s="36"/>
      <c r="U899" s="36"/>
      <c r="V899" s="36"/>
      <c r="W899" s="36"/>
      <c r="X899" s="36"/>
      <c r="Y899" s="36"/>
      <c r="Z899" s="37"/>
      <c r="AA899" s="52"/>
      <c r="AB899" s="50"/>
      <c r="AC899" s="50"/>
      <c r="AD899" s="51"/>
      <c r="AE899" s="52"/>
      <c r="AF899" s="36"/>
    </row>
    <row r="900" spans="2:32" x14ac:dyDescent="0.3">
      <c r="B900" s="92"/>
      <c r="C900" s="92"/>
      <c r="D900" s="445"/>
      <c r="E900" s="91"/>
      <c r="F900" s="91"/>
      <c r="G900" s="409"/>
      <c r="H900" s="91"/>
      <c r="I900" s="409"/>
      <c r="J900" s="92"/>
      <c r="K900" s="377" t="s">
        <v>297</v>
      </c>
      <c r="L900" s="378" t="s">
        <v>291</v>
      </c>
      <c r="M900" s="385" t="s">
        <v>1539</v>
      </c>
      <c r="N900" s="92"/>
      <c r="O900" s="92"/>
      <c r="P900" s="93"/>
      <c r="Q900" s="92"/>
      <c r="R900" s="92"/>
      <c r="S900" s="92"/>
      <c r="T900" s="92"/>
      <c r="U900" s="92"/>
      <c r="V900" s="92"/>
      <c r="W900" s="92"/>
      <c r="X900" s="92"/>
      <c r="Y900" s="92"/>
      <c r="Z900" s="101"/>
      <c r="AA900" s="95"/>
      <c r="AB900" s="93"/>
      <c r="AC900" s="93"/>
      <c r="AD900" s="94"/>
      <c r="AE900" s="95"/>
      <c r="AF900" s="92"/>
    </row>
    <row r="901" spans="2:32" x14ac:dyDescent="0.3">
      <c r="B901" s="36"/>
      <c r="C901" s="36"/>
      <c r="E901" s="33"/>
      <c r="F901" s="33"/>
      <c r="G901" s="70"/>
      <c r="H901" s="33"/>
      <c r="I901" s="70"/>
      <c r="J901" s="36"/>
      <c r="K901" s="37"/>
      <c r="L901" s="46"/>
      <c r="M901" s="362"/>
      <c r="N901" s="36"/>
      <c r="O901" s="36"/>
      <c r="P901" s="50"/>
      <c r="Q901" s="36"/>
      <c r="R901" s="36"/>
      <c r="S901" s="36"/>
      <c r="T901" s="36"/>
      <c r="U901" s="36"/>
      <c r="V901" s="36"/>
      <c r="W901" s="36"/>
      <c r="X901" s="36"/>
      <c r="Y901" s="36"/>
      <c r="Z901" s="37"/>
      <c r="AA901" s="52"/>
      <c r="AB901" s="50"/>
      <c r="AC901" s="50"/>
      <c r="AD901" s="51"/>
      <c r="AE901" s="52"/>
      <c r="AF901" s="36"/>
    </row>
    <row r="902" spans="2:32" ht="28.5" x14ac:dyDescent="0.3">
      <c r="B902" s="36"/>
      <c r="C902" s="36"/>
      <c r="E902" s="33">
        <v>1</v>
      </c>
      <c r="F902" s="33">
        <v>18</v>
      </c>
      <c r="G902" s="70" t="s">
        <v>131</v>
      </c>
      <c r="H902" s="33">
        <v>15</v>
      </c>
      <c r="I902" s="34">
        <v>6</v>
      </c>
      <c r="J902" s="36" t="s">
        <v>242</v>
      </c>
      <c r="K902" s="374" t="s">
        <v>290</v>
      </c>
      <c r="L902" s="375" t="s">
        <v>291</v>
      </c>
      <c r="M902" s="375" t="s">
        <v>292</v>
      </c>
      <c r="N902" s="36" t="s">
        <v>301</v>
      </c>
      <c r="O902" s="36" t="s">
        <v>301</v>
      </c>
      <c r="P902" s="50">
        <v>306117500</v>
      </c>
      <c r="Q902" s="36" t="s">
        <v>301</v>
      </c>
      <c r="R902" s="431">
        <f>P902+(P902*10%)</f>
        <v>336729250</v>
      </c>
      <c r="S902" s="36" t="s">
        <v>301</v>
      </c>
      <c r="T902" s="431">
        <f>R902+(R902*10%)</f>
        <v>370402175</v>
      </c>
      <c r="U902" s="36" t="s">
        <v>301</v>
      </c>
      <c r="V902" s="431">
        <f>T902+(T902*10%)</f>
        <v>407442392.5</v>
      </c>
      <c r="W902" s="36" t="s">
        <v>301</v>
      </c>
      <c r="X902" s="431">
        <f>V902+(V902*10%)</f>
        <v>448186631.75</v>
      </c>
      <c r="Y902" s="36" t="s">
        <v>301</v>
      </c>
      <c r="Z902" s="431">
        <f>X902+V902+T902+R902+P902</f>
        <v>1868877949.25</v>
      </c>
      <c r="AA902" s="52" t="str">
        <f>AA859</f>
        <v>Dinas Dikpora</v>
      </c>
      <c r="AB902" s="50">
        <v>50000</v>
      </c>
      <c r="AC902" s="50">
        <v>132000</v>
      </c>
      <c r="AD902" s="51" t="s">
        <v>84</v>
      </c>
      <c r="AE902" s="52" t="s">
        <v>81</v>
      </c>
      <c r="AF902" s="36" t="s">
        <v>239</v>
      </c>
    </row>
    <row r="903" spans="2:32" ht="42.75" x14ac:dyDescent="0.3">
      <c r="B903" s="36"/>
      <c r="C903" s="36"/>
      <c r="E903" s="33"/>
      <c r="F903" s="33"/>
      <c r="G903" s="70"/>
      <c r="H903" s="33"/>
      <c r="I903" s="34"/>
      <c r="J903" s="36"/>
      <c r="K903" s="374" t="s">
        <v>293</v>
      </c>
      <c r="L903" s="375" t="s">
        <v>291</v>
      </c>
      <c r="M903" s="362" t="s">
        <v>1367</v>
      </c>
      <c r="N903" s="36" t="s">
        <v>898</v>
      </c>
      <c r="O903" s="36" t="s">
        <v>898</v>
      </c>
      <c r="P903" s="50"/>
      <c r="Q903" s="36" t="s">
        <v>898</v>
      </c>
      <c r="R903" s="36"/>
      <c r="S903" s="36" t="s">
        <v>898</v>
      </c>
      <c r="T903" s="36"/>
      <c r="U903" s="36" t="s">
        <v>898</v>
      </c>
      <c r="V903" s="36"/>
      <c r="W903" s="36" t="s">
        <v>898</v>
      </c>
      <c r="X903" s="36"/>
      <c r="Y903" s="36" t="s">
        <v>898</v>
      </c>
      <c r="Z903" s="37"/>
      <c r="AA903" s="52"/>
      <c r="AB903" s="50">
        <v>48000</v>
      </c>
      <c r="AC903" s="50">
        <v>134860</v>
      </c>
      <c r="AD903" s="51" t="s">
        <v>84</v>
      </c>
      <c r="AE903" s="52" t="s">
        <v>81</v>
      </c>
      <c r="AF903" s="36"/>
    </row>
    <row r="904" spans="2:32" ht="42.75" x14ac:dyDescent="0.3">
      <c r="B904" s="36"/>
      <c r="C904" s="36"/>
      <c r="E904" s="33"/>
      <c r="F904" s="33"/>
      <c r="G904" s="70"/>
      <c r="H904" s="33"/>
      <c r="I904" s="70"/>
      <c r="J904" s="36"/>
      <c r="K904" s="37"/>
      <c r="L904" s="375" t="s">
        <v>291</v>
      </c>
      <c r="M904" s="362" t="s">
        <v>1368</v>
      </c>
      <c r="N904" s="36" t="s">
        <v>1184</v>
      </c>
      <c r="O904" s="36" t="s">
        <v>1184</v>
      </c>
      <c r="P904" s="50"/>
      <c r="Q904" s="36" t="s">
        <v>1184</v>
      </c>
      <c r="R904" s="36"/>
      <c r="S904" s="36" t="s">
        <v>1184</v>
      </c>
      <c r="T904" s="36"/>
      <c r="U904" s="36" t="s">
        <v>1184</v>
      </c>
      <c r="V904" s="36"/>
      <c r="W904" s="36" t="s">
        <v>1184</v>
      </c>
      <c r="X904" s="36"/>
      <c r="Y904" s="36" t="s">
        <v>1184</v>
      </c>
      <c r="Z904" s="37"/>
      <c r="AA904" s="52"/>
      <c r="AB904" s="50">
        <v>25000</v>
      </c>
      <c r="AC904" s="50">
        <v>55000</v>
      </c>
      <c r="AD904" s="51" t="s">
        <v>84</v>
      </c>
      <c r="AE904" s="52" t="s">
        <v>81</v>
      </c>
      <c r="AF904" s="36"/>
    </row>
    <row r="905" spans="2:32" ht="28.5" x14ac:dyDescent="0.3">
      <c r="B905" s="36"/>
      <c r="C905" s="36"/>
      <c r="E905" s="33"/>
      <c r="F905" s="33"/>
      <c r="G905" s="70"/>
      <c r="H905" s="33"/>
      <c r="I905" s="70"/>
      <c r="J905" s="36"/>
      <c r="K905" s="374" t="s">
        <v>294</v>
      </c>
      <c r="L905" s="375" t="s">
        <v>291</v>
      </c>
      <c r="M905" s="362" t="s">
        <v>1542</v>
      </c>
      <c r="N905" s="89">
        <v>1</v>
      </c>
      <c r="O905" s="89">
        <v>1</v>
      </c>
      <c r="P905" s="50"/>
      <c r="Q905" s="89">
        <v>1</v>
      </c>
      <c r="R905" s="36"/>
      <c r="S905" s="89">
        <v>1</v>
      </c>
      <c r="T905" s="36"/>
      <c r="U905" s="89">
        <v>1</v>
      </c>
      <c r="V905" s="36"/>
      <c r="W905" s="89">
        <v>1</v>
      </c>
      <c r="X905" s="36"/>
      <c r="Y905" s="89">
        <v>1</v>
      </c>
      <c r="Z905" s="37"/>
      <c r="AA905" s="52"/>
      <c r="AB905" s="50"/>
      <c r="AC905" s="50"/>
      <c r="AD905" s="51"/>
      <c r="AE905" s="52"/>
      <c r="AF905" s="36"/>
    </row>
    <row r="906" spans="2:32" ht="28.5" x14ac:dyDescent="0.3">
      <c r="B906" s="36"/>
      <c r="C906" s="36"/>
      <c r="E906" s="33"/>
      <c r="F906" s="33"/>
      <c r="G906" s="70"/>
      <c r="H906" s="33"/>
      <c r="I906" s="70"/>
      <c r="J906" s="36"/>
      <c r="K906" s="374" t="s">
        <v>295</v>
      </c>
      <c r="L906" s="375" t="s">
        <v>291</v>
      </c>
      <c r="M906" s="400" t="s">
        <v>1541</v>
      </c>
      <c r="N906" s="36"/>
      <c r="O906" s="36"/>
      <c r="P906" s="50"/>
      <c r="Q906" s="36"/>
      <c r="R906" s="36"/>
      <c r="S906" s="36"/>
      <c r="T906" s="36"/>
      <c r="U906" s="36"/>
      <c r="V906" s="36"/>
      <c r="W906" s="36"/>
      <c r="X906" s="36"/>
      <c r="Y906" s="36"/>
      <c r="Z906" s="37"/>
      <c r="AA906" s="52"/>
      <c r="AB906" s="50"/>
      <c r="AC906" s="50"/>
      <c r="AD906" s="51"/>
      <c r="AE906" s="52"/>
      <c r="AF906" s="36"/>
    </row>
    <row r="907" spans="2:32" x14ac:dyDescent="0.3">
      <c r="B907" s="92"/>
      <c r="C907" s="92"/>
      <c r="D907" s="445"/>
      <c r="E907" s="91"/>
      <c r="F907" s="91"/>
      <c r="G907" s="409"/>
      <c r="H907" s="91"/>
      <c r="I907" s="409"/>
      <c r="J907" s="92"/>
      <c r="K907" s="377" t="s">
        <v>297</v>
      </c>
      <c r="L907" s="378" t="s">
        <v>291</v>
      </c>
      <c r="M907" s="385" t="s">
        <v>1539</v>
      </c>
      <c r="N907" s="92"/>
      <c r="O907" s="92"/>
      <c r="P907" s="93"/>
      <c r="Q907" s="92"/>
      <c r="R907" s="92"/>
      <c r="S907" s="92"/>
      <c r="T907" s="92"/>
      <c r="U907" s="92"/>
      <c r="V907" s="92"/>
      <c r="W907" s="92"/>
      <c r="X907" s="92"/>
      <c r="Y907" s="92"/>
      <c r="Z907" s="101"/>
      <c r="AA907" s="95"/>
      <c r="AB907" s="93"/>
      <c r="AC907" s="93"/>
      <c r="AD907" s="94"/>
      <c r="AE907" s="95"/>
      <c r="AF907" s="92"/>
    </row>
    <row r="908" spans="2:32" x14ac:dyDescent="0.3">
      <c r="B908" s="36"/>
      <c r="C908" s="36"/>
      <c r="E908" s="33"/>
      <c r="F908" s="33"/>
      <c r="G908" s="70"/>
      <c r="H908" s="33"/>
      <c r="I908" s="70"/>
      <c r="J908" s="36"/>
      <c r="K908" s="37"/>
      <c r="L908" s="46"/>
      <c r="M908" s="362"/>
      <c r="N908" s="36"/>
      <c r="O908" s="36"/>
      <c r="P908" s="50"/>
      <c r="Q908" s="36"/>
      <c r="R908" s="36"/>
      <c r="S908" s="36"/>
      <c r="T908" s="36"/>
      <c r="U908" s="36"/>
      <c r="V908" s="36"/>
      <c r="W908" s="36"/>
      <c r="X908" s="36"/>
      <c r="Y908" s="36"/>
      <c r="Z908" s="37"/>
      <c r="AA908" s="52"/>
      <c r="AB908" s="50"/>
      <c r="AC908" s="50"/>
      <c r="AD908" s="51"/>
      <c r="AE908" s="52"/>
      <c r="AF908" s="36"/>
    </row>
    <row r="909" spans="2:32" x14ac:dyDescent="0.3">
      <c r="B909" s="36"/>
      <c r="C909" s="36"/>
      <c r="E909" s="33">
        <v>1</v>
      </c>
      <c r="F909" s="33">
        <v>18</v>
      </c>
      <c r="G909" s="70" t="s">
        <v>131</v>
      </c>
      <c r="H909" s="33">
        <v>15</v>
      </c>
      <c r="I909" s="34">
        <v>7</v>
      </c>
      <c r="J909" s="36" t="s">
        <v>243</v>
      </c>
      <c r="K909" s="374" t="s">
        <v>290</v>
      </c>
      <c r="L909" s="375" t="s">
        <v>291</v>
      </c>
      <c r="M909" s="375" t="s">
        <v>292</v>
      </c>
      <c r="N909" s="36" t="s">
        <v>301</v>
      </c>
      <c r="O909" s="36" t="s">
        <v>301</v>
      </c>
      <c r="P909" s="50">
        <v>688527500</v>
      </c>
      <c r="Q909" s="36" t="s">
        <v>301</v>
      </c>
      <c r="R909" s="431">
        <f>P909+(P909*10%)</f>
        <v>757380250</v>
      </c>
      <c r="S909" s="36" t="s">
        <v>301</v>
      </c>
      <c r="T909" s="431">
        <f>R909+(R909*10%)</f>
        <v>833118275</v>
      </c>
      <c r="U909" s="36" t="s">
        <v>301</v>
      </c>
      <c r="V909" s="431">
        <f>T909+(T909*10%)</f>
        <v>916430102.5</v>
      </c>
      <c r="W909" s="36" t="s">
        <v>301</v>
      </c>
      <c r="X909" s="431">
        <f>V909+(V909*10%)</f>
        <v>1008073112.75</v>
      </c>
      <c r="Y909" s="36" t="s">
        <v>301</v>
      </c>
      <c r="Z909" s="431">
        <f>X909+V909+T909+R909+P909</f>
        <v>4203529240.25</v>
      </c>
      <c r="AA909" s="52" t="str">
        <f>AA896</f>
        <v>Dinas Dikpora</v>
      </c>
      <c r="AB909" s="50"/>
      <c r="AC909" s="50"/>
      <c r="AD909" s="51"/>
      <c r="AE909" s="52"/>
      <c r="AF909" s="36" t="s">
        <v>75</v>
      </c>
    </row>
    <row r="910" spans="2:32" ht="85.5" x14ac:dyDescent="0.3">
      <c r="B910" s="36"/>
      <c r="C910" s="36"/>
      <c r="E910" s="33"/>
      <c r="F910" s="33"/>
      <c r="G910" s="70"/>
      <c r="H910" s="33"/>
      <c r="I910" s="70"/>
      <c r="J910" s="36"/>
      <c r="K910" s="374" t="s">
        <v>293</v>
      </c>
      <c r="L910" s="375" t="s">
        <v>291</v>
      </c>
      <c r="M910" s="362" t="s">
        <v>1369</v>
      </c>
      <c r="N910" s="36" t="s">
        <v>915</v>
      </c>
      <c r="O910" s="36" t="s">
        <v>915</v>
      </c>
      <c r="P910" s="50"/>
      <c r="Q910" s="36" t="s">
        <v>915</v>
      </c>
      <c r="R910" s="36"/>
      <c r="S910" s="36" t="s">
        <v>915</v>
      </c>
      <c r="T910" s="36"/>
      <c r="U910" s="36" t="s">
        <v>915</v>
      </c>
      <c r="V910" s="36"/>
      <c r="W910" s="36" t="s">
        <v>915</v>
      </c>
      <c r="X910" s="36"/>
      <c r="Y910" s="36" t="s">
        <v>915</v>
      </c>
      <c r="Z910" s="37"/>
      <c r="AA910" s="52"/>
      <c r="AB910" s="50">
        <v>50000</v>
      </c>
      <c r="AC910" s="50">
        <f>AB910+(AB910*10%)</f>
        <v>55000</v>
      </c>
      <c r="AD910" s="51" t="s">
        <v>66</v>
      </c>
      <c r="AE910" s="52" t="s">
        <v>81</v>
      </c>
      <c r="AF910" s="36"/>
    </row>
    <row r="911" spans="2:32" ht="42.75" x14ac:dyDescent="0.3">
      <c r="B911" s="36"/>
      <c r="C911" s="36"/>
      <c r="E911" s="33"/>
      <c r="F911" s="33"/>
      <c r="G911" s="70"/>
      <c r="H911" s="33"/>
      <c r="I911" s="70"/>
      <c r="J911" s="36"/>
      <c r="K911" s="374" t="s">
        <v>294</v>
      </c>
      <c r="L911" s="375" t="s">
        <v>291</v>
      </c>
      <c r="M911" s="362" t="s">
        <v>1543</v>
      </c>
      <c r="N911" s="41">
        <v>1</v>
      </c>
      <c r="O911" s="41">
        <v>1</v>
      </c>
      <c r="P911" s="50"/>
      <c r="Q911" s="41">
        <v>1</v>
      </c>
      <c r="R911" s="36"/>
      <c r="S911" s="41">
        <v>1</v>
      </c>
      <c r="T911" s="36"/>
      <c r="U911" s="41">
        <v>1</v>
      </c>
      <c r="V911" s="36"/>
      <c r="W911" s="41">
        <v>1</v>
      </c>
      <c r="X911" s="36"/>
      <c r="Y911" s="41">
        <v>1</v>
      </c>
      <c r="Z911" s="37"/>
      <c r="AA911" s="52"/>
      <c r="AB911" s="50"/>
      <c r="AC911" s="50"/>
      <c r="AD911" s="51"/>
      <c r="AE911" s="52"/>
      <c r="AF911" s="36"/>
    </row>
    <row r="912" spans="2:32" x14ac:dyDescent="0.3">
      <c r="B912" s="36"/>
      <c r="C912" s="36"/>
      <c r="E912" s="33"/>
      <c r="F912" s="33"/>
      <c r="G912" s="70"/>
      <c r="H912" s="33"/>
      <c r="I912" s="70"/>
      <c r="J912" s="36"/>
      <c r="K912" s="374" t="s">
        <v>295</v>
      </c>
      <c r="L912" s="375" t="s">
        <v>291</v>
      </c>
      <c r="M912" s="384" t="s">
        <v>918</v>
      </c>
      <c r="N912" s="36"/>
      <c r="O912" s="36"/>
      <c r="P912" s="50"/>
      <c r="Q912" s="36"/>
      <c r="R912" s="36"/>
      <c r="S912" s="36"/>
      <c r="T912" s="36"/>
      <c r="U912" s="36"/>
      <c r="V912" s="36"/>
      <c r="W912" s="36"/>
      <c r="X912" s="36"/>
      <c r="Y912" s="36"/>
      <c r="Z912" s="37"/>
      <c r="AA912" s="52"/>
      <c r="AB912" s="50"/>
      <c r="AC912" s="50"/>
      <c r="AD912" s="51"/>
      <c r="AE912" s="52"/>
      <c r="AF912" s="36"/>
    </row>
    <row r="913" spans="2:32" x14ac:dyDescent="0.3">
      <c r="B913" s="92"/>
      <c r="C913" s="92"/>
      <c r="D913" s="445"/>
      <c r="E913" s="91"/>
      <c r="F913" s="91"/>
      <c r="G913" s="409"/>
      <c r="H913" s="91"/>
      <c r="I913" s="409"/>
      <c r="J913" s="92"/>
      <c r="K913" s="377" t="s">
        <v>297</v>
      </c>
      <c r="L913" s="378" t="s">
        <v>291</v>
      </c>
      <c r="M913" s="385" t="s">
        <v>919</v>
      </c>
      <c r="N913" s="92"/>
      <c r="O913" s="92"/>
      <c r="P913" s="93"/>
      <c r="Q913" s="92"/>
      <c r="R913" s="92"/>
      <c r="S913" s="92"/>
      <c r="T913" s="92"/>
      <c r="U913" s="92"/>
      <c r="V913" s="92"/>
      <c r="W913" s="92"/>
      <c r="X913" s="92"/>
      <c r="Y913" s="92"/>
      <c r="Z913" s="101"/>
      <c r="AA913" s="95"/>
      <c r="AB913" s="93"/>
      <c r="AC913" s="93"/>
      <c r="AD913" s="94"/>
      <c r="AE913" s="95"/>
      <c r="AF913" s="92"/>
    </row>
    <row r="914" spans="2:32" x14ac:dyDescent="0.3">
      <c r="B914" s="36"/>
      <c r="C914" s="36"/>
      <c r="E914" s="33"/>
      <c r="F914" s="33"/>
      <c r="G914" s="70"/>
      <c r="H914" s="33"/>
      <c r="I914" s="70"/>
      <c r="J914" s="36"/>
      <c r="K914" s="37"/>
      <c r="L914" s="46"/>
      <c r="M914" s="362"/>
      <c r="N914" s="36"/>
      <c r="O914" s="36"/>
      <c r="P914" s="50"/>
      <c r="Q914" s="36"/>
      <c r="R914" s="36"/>
      <c r="S914" s="36"/>
      <c r="T914" s="36"/>
      <c r="U914" s="36"/>
      <c r="V914" s="36"/>
      <c r="W914" s="36"/>
      <c r="X914" s="36"/>
      <c r="Y914" s="36"/>
      <c r="Z914" s="37"/>
      <c r="AA914" s="52"/>
      <c r="AB914" s="50"/>
      <c r="AC914" s="50"/>
      <c r="AD914" s="51"/>
      <c r="AE914" s="52"/>
      <c r="AF914" s="36"/>
    </row>
    <row r="915" spans="2:32" x14ac:dyDescent="0.3">
      <c r="B915" s="36"/>
      <c r="C915" s="36"/>
      <c r="E915" s="26"/>
      <c r="F915" s="26"/>
      <c r="G915" s="26"/>
      <c r="H915" s="26"/>
      <c r="I915" s="26"/>
      <c r="J915" s="27" t="s">
        <v>60</v>
      </c>
      <c r="K915" s="35"/>
      <c r="L915" s="39"/>
      <c r="M915" s="362"/>
      <c r="N915" s="36"/>
      <c r="O915" s="36"/>
      <c r="P915" s="50"/>
      <c r="Q915" s="36"/>
      <c r="R915" s="36"/>
      <c r="S915" s="36"/>
      <c r="T915" s="36"/>
      <c r="U915" s="36"/>
      <c r="V915" s="36"/>
      <c r="W915" s="36"/>
      <c r="X915" s="36"/>
      <c r="Y915" s="36"/>
      <c r="Z915" s="37"/>
      <c r="AA915" s="52"/>
      <c r="AB915" s="50"/>
      <c r="AC915" s="50"/>
      <c r="AD915" s="51"/>
      <c r="AE915" s="52"/>
      <c r="AF915" s="90"/>
    </row>
    <row r="916" spans="2:32" s="87" customFormat="1" ht="81" x14ac:dyDescent="0.25">
      <c r="B916" s="504" t="s">
        <v>1563</v>
      </c>
      <c r="C916" s="452" t="s">
        <v>1564</v>
      </c>
      <c r="D916" s="434"/>
      <c r="E916" s="26">
        <v>1</v>
      </c>
      <c r="F916" s="26">
        <v>18</v>
      </c>
      <c r="G916" s="69" t="s">
        <v>131</v>
      </c>
      <c r="H916" s="26">
        <v>16</v>
      </c>
      <c r="I916" s="26"/>
      <c r="J916" s="27" t="s">
        <v>244</v>
      </c>
      <c r="K916" s="496" t="s">
        <v>1370</v>
      </c>
      <c r="L916" s="497"/>
      <c r="M916" s="498"/>
      <c r="N916" s="27" t="s">
        <v>360</v>
      </c>
      <c r="O916" s="27" t="s">
        <v>360</v>
      </c>
      <c r="P916" s="82">
        <f t="shared" ref="P916:R916" si="38">P919</f>
        <v>363750000</v>
      </c>
      <c r="Q916" s="27" t="s">
        <v>360</v>
      </c>
      <c r="R916" s="82">
        <f t="shared" si="38"/>
        <v>400125000</v>
      </c>
      <c r="S916" s="27" t="s">
        <v>360</v>
      </c>
      <c r="T916" s="82">
        <f t="shared" ref="T916" si="39">T919</f>
        <v>440137500</v>
      </c>
      <c r="U916" s="27" t="s">
        <v>360</v>
      </c>
      <c r="V916" s="82">
        <f t="shared" ref="V916" si="40">V919</f>
        <v>484151250</v>
      </c>
      <c r="W916" s="27" t="s">
        <v>360</v>
      </c>
      <c r="X916" s="82">
        <f t="shared" ref="X916" si="41">X919</f>
        <v>532566375</v>
      </c>
      <c r="Y916" s="27" t="s">
        <v>360</v>
      </c>
      <c r="Z916" s="430">
        <f>X916+V916+T916+R916+P916</f>
        <v>2220730125</v>
      </c>
      <c r="AA916" s="75"/>
      <c r="AB916" s="82">
        <v>0</v>
      </c>
      <c r="AC916" s="82">
        <f>AB916</f>
        <v>0</v>
      </c>
      <c r="AD916" s="83" t="str">
        <f>AD902</f>
        <v>Dinas dikpora</v>
      </c>
      <c r="AE916" s="75" t="str">
        <f>AE902</f>
        <v>Sedang berjalan</v>
      </c>
      <c r="AF916" s="27" t="s">
        <v>146</v>
      </c>
    </row>
    <row r="917" spans="2:32" x14ac:dyDescent="0.3">
      <c r="B917" s="504"/>
      <c r="C917" s="456"/>
      <c r="E917" s="26"/>
      <c r="F917" s="26"/>
      <c r="G917" s="26"/>
      <c r="H917" s="26"/>
      <c r="I917" s="26"/>
      <c r="J917" s="88"/>
      <c r="K917" s="407"/>
      <c r="L917" s="369"/>
      <c r="M917" s="362"/>
      <c r="N917" s="27"/>
      <c r="O917" s="27"/>
      <c r="P917" s="50"/>
      <c r="Q917" s="27"/>
      <c r="R917" s="36"/>
      <c r="S917" s="27"/>
      <c r="T917" s="36"/>
      <c r="U917" s="27"/>
      <c r="V917" s="36"/>
      <c r="W917" s="27"/>
      <c r="X917" s="36"/>
      <c r="Y917" s="27"/>
      <c r="Z917" s="37"/>
      <c r="AA917" s="52"/>
      <c r="AB917" s="50"/>
      <c r="AC917" s="50"/>
      <c r="AD917" s="51"/>
      <c r="AE917" s="52"/>
      <c r="AF917" s="36"/>
    </row>
    <row r="918" spans="2:32" ht="28.5" x14ac:dyDescent="0.3">
      <c r="B918" s="504"/>
      <c r="C918" s="456"/>
      <c r="E918" s="26"/>
      <c r="F918" s="26"/>
      <c r="G918" s="26"/>
      <c r="H918" s="26"/>
      <c r="I918" s="26"/>
      <c r="J918" s="27" t="s">
        <v>63</v>
      </c>
      <c r="K918" s="35"/>
      <c r="L918" s="39"/>
      <c r="M918" s="362"/>
      <c r="N918" s="36"/>
      <c r="O918" s="36"/>
      <c r="P918" s="50"/>
      <c r="Q918" s="36"/>
      <c r="R918" s="36"/>
      <c r="S918" s="36"/>
      <c r="T918" s="36"/>
      <c r="U918" s="36"/>
      <c r="V918" s="36"/>
      <c r="W918" s="36"/>
      <c r="X918" s="36"/>
      <c r="Y918" s="36"/>
      <c r="Z918" s="37"/>
      <c r="AA918" s="52"/>
      <c r="AB918" s="50">
        <v>108000</v>
      </c>
      <c r="AC918" s="50">
        <f>AB918+(AB918*10%)</f>
        <v>118800</v>
      </c>
      <c r="AD918" s="51" t="s">
        <v>66</v>
      </c>
      <c r="AE918" s="52" t="s">
        <v>81</v>
      </c>
      <c r="AF918" s="90"/>
    </row>
    <row r="919" spans="2:32" x14ac:dyDescent="0.3">
      <c r="B919" s="504"/>
      <c r="C919" s="456"/>
      <c r="E919" s="33">
        <v>1</v>
      </c>
      <c r="F919" s="33">
        <v>18</v>
      </c>
      <c r="G919" s="70" t="s">
        <v>131</v>
      </c>
      <c r="H919" s="33">
        <v>16</v>
      </c>
      <c r="I919" s="34">
        <v>1</v>
      </c>
      <c r="J919" s="36" t="s">
        <v>245</v>
      </c>
      <c r="K919" s="374" t="s">
        <v>290</v>
      </c>
      <c r="L919" s="375" t="s">
        <v>291</v>
      </c>
      <c r="M919" s="375" t="s">
        <v>292</v>
      </c>
      <c r="N919" s="36" t="s">
        <v>301</v>
      </c>
      <c r="O919" s="36" t="s">
        <v>301</v>
      </c>
      <c r="P919" s="50">
        <v>363750000</v>
      </c>
      <c r="Q919" s="36" t="s">
        <v>301</v>
      </c>
      <c r="R919" s="431">
        <f>P919+(P919*10%)</f>
        <v>400125000</v>
      </c>
      <c r="S919" s="36" t="s">
        <v>301</v>
      </c>
      <c r="T919" s="431">
        <f>R919+(R919*10%)</f>
        <v>440137500</v>
      </c>
      <c r="U919" s="36" t="s">
        <v>301</v>
      </c>
      <c r="V919" s="431">
        <f>T919+(T919*10%)</f>
        <v>484151250</v>
      </c>
      <c r="W919" s="36" t="s">
        <v>301</v>
      </c>
      <c r="X919" s="431">
        <f>V919+(V919*10%)</f>
        <v>532566375</v>
      </c>
      <c r="Y919" s="36" t="s">
        <v>301</v>
      </c>
      <c r="Z919" s="431">
        <f>X919+V919+T919+R919+P919</f>
        <v>2220730125</v>
      </c>
      <c r="AA919" s="52" t="s">
        <v>66</v>
      </c>
      <c r="AB919" s="50"/>
      <c r="AC919" s="50"/>
      <c r="AD919" s="51"/>
      <c r="AE919" s="52"/>
      <c r="AF919" s="36" t="s">
        <v>246</v>
      </c>
    </row>
    <row r="920" spans="2:32" ht="28.5" x14ac:dyDescent="0.3">
      <c r="B920" s="504"/>
      <c r="C920" s="462"/>
      <c r="E920" s="26"/>
      <c r="F920" s="26"/>
      <c r="G920" s="26"/>
      <c r="H920" s="26"/>
      <c r="I920" s="26"/>
      <c r="K920" s="374" t="s">
        <v>293</v>
      </c>
      <c r="L920" s="375" t="s">
        <v>291</v>
      </c>
      <c r="M920" s="362" t="s">
        <v>1371</v>
      </c>
      <c r="N920" s="36" t="s">
        <v>1185</v>
      </c>
      <c r="O920" s="36" t="s">
        <v>1185</v>
      </c>
      <c r="P920" s="82"/>
      <c r="Q920" s="36" t="s">
        <v>1185</v>
      </c>
      <c r="R920" s="36"/>
      <c r="S920" s="36" t="s">
        <v>1185</v>
      </c>
      <c r="T920" s="36"/>
      <c r="U920" s="36" t="s">
        <v>1185</v>
      </c>
      <c r="V920" s="36"/>
      <c r="W920" s="36" t="s">
        <v>1185</v>
      </c>
      <c r="X920" s="36"/>
      <c r="Y920" s="36" t="s">
        <v>1185</v>
      </c>
      <c r="Z920" s="37"/>
      <c r="AA920" s="75"/>
      <c r="AB920" s="50">
        <v>40000</v>
      </c>
      <c r="AC920" s="50">
        <f>AB920</f>
        <v>40000</v>
      </c>
      <c r="AD920" s="51" t="str">
        <f>AD891</f>
        <v>Dinas Dikpora</v>
      </c>
      <c r="AE920" s="52" t="str">
        <f>AE891</f>
        <v>Sedang berjalan</v>
      </c>
      <c r="AF920" s="27"/>
    </row>
    <row r="921" spans="2:32" ht="28.5" x14ac:dyDescent="0.3">
      <c r="B921" s="504"/>
      <c r="C921" s="462"/>
      <c r="E921" s="26"/>
      <c r="F921" s="26"/>
      <c r="G921" s="26"/>
      <c r="H921" s="26"/>
      <c r="I921" s="26"/>
      <c r="J921" s="88"/>
      <c r="K921" s="374" t="s">
        <v>294</v>
      </c>
      <c r="L921" s="375" t="s">
        <v>291</v>
      </c>
      <c r="M921" s="362" t="s">
        <v>1544</v>
      </c>
      <c r="N921" s="89">
        <v>1</v>
      </c>
      <c r="O921" s="89">
        <v>1</v>
      </c>
      <c r="P921" s="82"/>
      <c r="Q921" s="89">
        <v>1</v>
      </c>
      <c r="R921" s="36"/>
      <c r="S921" s="89">
        <v>1</v>
      </c>
      <c r="T921" s="36"/>
      <c r="U921" s="89">
        <v>1</v>
      </c>
      <c r="V921" s="36"/>
      <c r="W921" s="89">
        <v>1</v>
      </c>
      <c r="X921" s="36"/>
      <c r="Y921" s="89">
        <v>1</v>
      </c>
      <c r="Z921" s="37"/>
      <c r="AA921" s="75"/>
      <c r="AB921" s="50"/>
      <c r="AC921" s="50"/>
      <c r="AD921" s="51"/>
      <c r="AE921" s="52"/>
      <c r="AF921" s="27"/>
    </row>
    <row r="922" spans="2:32" ht="28.5" x14ac:dyDescent="0.3">
      <c r="B922" s="504"/>
      <c r="C922" s="462"/>
      <c r="E922" s="26"/>
      <c r="F922" s="26"/>
      <c r="G922" s="26"/>
      <c r="H922" s="26"/>
      <c r="I922" s="26"/>
      <c r="J922" s="88"/>
      <c r="K922" s="374" t="s">
        <v>295</v>
      </c>
      <c r="L922" s="375" t="s">
        <v>291</v>
      </c>
      <c r="M922" s="400" t="s">
        <v>1541</v>
      </c>
      <c r="N922" s="27"/>
      <c r="O922" s="27"/>
      <c r="P922" s="82"/>
      <c r="Q922" s="27"/>
      <c r="R922" s="36"/>
      <c r="S922" s="27"/>
      <c r="T922" s="36"/>
      <c r="U922" s="27"/>
      <c r="V922" s="36"/>
      <c r="W922" s="27"/>
      <c r="X922" s="36"/>
      <c r="Y922" s="27"/>
      <c r="Z922" s="37"/>
      <c r="AA922" s="75"/>
      <c r="AB922" s="50"/>
      <c r="AC922" s="50"/>
      <c r="AD922" s="51"/>
      <c r="AE922" s="52"/>
      <c r="AF922" s="27"/>
    </row>
    <row r="923" spans="2:32" x14ac:dyDescent="0.3">
      <c r="B923" s="505"/>
      <c r="C923" s="463"/>
      <c r="D923" s="445"/>
      <c r="E923" s="423"/>
      <c r="F923" s="423"/>
      <c r="G923" s="423"/>
      <c r="H923" s="423"/>
      <c r="I923" s="423"/>
      <c r="J923" s="424"/>
      <c r="K923" s="377" t="s">
        <v>297</v>
      </c>
      <c r="L923" s="378" t="s">
        <v>291</v>
      </c>
      <c r="M923" s="385" t="s">
        <v>1539</v>
      </c>
      <c r="N923" s="393"/>
      <c r="O923" s="393"/>
      <c r="P923" s="419"/>
      <c r="Q923" s="393"/>
      <c r="R923" s="92"/>
      <c r="S923" s="393"/>
      <c r="T923" s="92"/>
      <c r="U923" s="393"/>
      <c r="V923" s="92"/>
      <c r="W923" s="393"/>
      <c r="X923" s="92"/>
      <c r="Y923" s="393"/>
      <c r="Z923" s="101"/>
      <c r="AA923" s="408"/>
      <c r="AB923" s="93"/>
      <c r="AC923" s="93"/>
      <c r="AD923" s="94"/>
      <c r="AE923" s="95"/>
      <c r="AF923" s="393"/>
    </row>
    <row r="924" spans="2:32" x14ac:dyDescent="0.3">
      <c r="B924" s="36"/>
      <c r="C924" s="36"/>
      <c r="E924" s="26"/>
      <c r="F924" s="26"/>
      <c r="G924" s="26"/>
      <c r="H924" s="26"/>
      <c r="I924" s="26"/>
      <c r="J924" s="88"/>
      <c r="K924" s="407"/>
      <c r="L924" s="369"/>
      <c r="M924" s="362"/>
      <c r="N924" s="27"/>
      <c r="O924" s="27"/>
      <c r="P924" s="82"/>
      <c r="Q924" s="27"/>
      <c r="R924" s="36"/>
      <c r="S924" s="27"/>
      <c r="T924" s="36"/>
      <c r="U924" s="27"/>
      <c r="V924" s="36"/>
      <c r="W924" s="27"/>
      <c r="X924" s="36"/>
      <c r="Y924" s="27"/>
      <c r="Z924" s="37"/>
      <c r="AA924" s="75"/>
      <c r="AB924" s="50"/>
      <c r="AC924" s="50"/>
      <c r="AD924" s="51"/>
      <c r="AE924" s="52"/>
      <c r="AF924" s="27"/>
    </row>
    <row r="925" spans="2:32" x14ac:dyDescent="0.3">
      <c r="B925" s="36"/>
      <c r="C925" s="36"/>
      <c r="E925" s="26"/>
      <c r="F925" s="26"/>
      <c r="G925" s="26"/>
      <c r="H925" s="26"/>
      <c r="I925" s="26"/>
      <c r="J925" s="27" t="s">
        <v>60</v>
      </c>
      <c r="K925" s="407"/>
      <c r="L925" s="369"/>
      <c r="M925" s="362"/>
      <c r="N925" s="27"/>
      <c r="O925" s="27"/>
      <c r="P925" s="82"/>
      <c r="Q925" s="27"/>
      <c r="R925" s="36"/>
      <c r="S925" s="27"/>
      <c r="T925" s="36"/>
      <c r="U925" s="27"/>
      <c r="V925" s="36"/>
      <c r="W925" s="27"/>
      <c r="X925" s="36"/>
      <c r="Y925" s="27"/>
      <c r="Z925" s="37"/>
      <c r="AA925" s="75"/>
      <c r="AB925" s="50"/>
      <c r="AC925" s="50"/>
      <c r="AD925" s="51"/>
      <c r="AE925" s="52"/>
      <c r="AF925" s="27"/>
    </row>
    <row r="926" spans="2:32" s="87" customFormat="1" ht="15" x14ac:dyDescent="0.25">
      <c r="B926" s="504" t="s">
        <v>1563</v>
      </c>
      <c r="C926" s="504" t="s">
        <v>1564</v>
      </c>
      <c r="D926" s="434"/>
      <c r="E926" s="26">
        <v>1</v>
      </c>
      <c r="F926" s="26">
        <v>18</v>
      </c>
      <c r="G926" s="69" t="s">
        <v>131</v>
      </c>
      <c r="H926" s="26">
        <v>17</v>
      </c>
      <c r="I926" s="26"/>
      <c r="J926" s="27" t="s">
        <v>247</v>
      </c>
      <c r="K926" s="496" t="s">
        <v>1372</v>
      </c>
      <c r="L926" s="497"/>
      <c r="M926" s="498"/>
      <c r="N926" s="27" t="s">
        <v>1186</v>
      </c>
      <c r="O926" s="27" t="s">
        <v>1186</v>
      </c>
      <c r="P926" s="82">
        <f>SUM(P927:P968)</f>
        <v>4572272500</v>
      </c>
      <c r="Q926" s="27" t="s">
        <v>1186</v>
      </c>
      <c r="R926" s="82">
        <f>SUM(R927:R968)</f>
        <v>5029499750</v>
      </c>
      <c r="S926" s="27" t="s">
        <v>1186</v>
      </c>
      <c r="T926" s="82">
        <f>SUM(T927:T968)</f>
        <v>5532449725</v>
      </c>
      <c r="U926" s="27" t="s">
        <v>1186</v>
      </c>
      <c r="V926" s="82">
        <f>SUM(V927:V968)</f>
        <v>6085694697.5</v>
      </c>
      <c r="W926" s="27" t="s">
        <v>1186</v>
      </c>
      <c r="X926" s="82">
        <f>SUM(X927:X968)</f>
        <v>6694264167.25</v>
      </c>
      <c r="Y926" s="27" t="s">
        <v>1186</v>
      </c>
      <c r="Z926" s="430">
        <f>X926+V926+T926+R926+P926</f>
        <v>27914180839.75</v>
      </c>
      <c r="AA926" s="75"/>
      <c r="AB926" s="82"/>
      <c r="AC926" s="82"/>
      <c r="AD926" s="83"/>
      <c r="AE926" s="75"/>
      <c r="AF926" s="27"/>
    </row>
    <row r="927" spans="2:32" x14ac:dyDescent="0.3">
      <c r="B927" s="504"/>
      <c r="C927" s="504"/>
      <c r="E927" s="26"/>
      <c r="F927" s="26"/>
      <c r="G927" s="26"/>
      <c r="H927" s="26"/>
      <c r="I927" s="26"/>
      <c r="J927" s="88"/>
      <c r="K927" s="407"/>
      <c r="L927" s="369"/>
      <c r="M927" s="362"/>
      <c r="N927" s="27"/>
      <c r="O927" s="27"/>
      <c r="P927" s="82"/>
      <c r="Q927" s="27"/>
      <c r="R927" s="36"/>
      <c r="S927" s="27"/>
      <c r="T927" s="36"/>
      <c r="U927" s="27"/>
      <c r="V927" s="36"/>
      <c r="W927" s="27"/>
      <c r="X927" s="36"/>
      <c r="Y927" s="27"/>
      <c r="Z927" s="37"/>
      <c r="AA927" s="75"/>
      <c r="AB927" s="50"/>
      <c r="AC927" s="50"/>
      <c r="AD927" s="51"/>
      <c r="AE927" s="52"/>
      <c r="AF927" s="27"/>
    </row>
    <row r="928" spans="2:32" x14ac:dyDescent="0.3">
      <c r="B928" s="504"/>
      <c r="C928" s="504"/>
      <c r="E928" s="26"/>
      <c r="F928" s="26"/>
      <c r="G928" s="26"/>
      <c r="H928" s="26"/>
      <c r="I928" s="26"/>
      <c r="J928" s="27" t="s">
        <v>63</v>
      </c>
      <c r="K928" s="35"/>
      <c r="L928" s="39"/>
      <c r="M928" s="361"/>
      <c r="N928" s="27"/>
      <c r="O928" s="27"/>
      <c r="P928" s="82"/>
      <c r="Q928" s="27"/>
      <c r="R928" s="36"/>
      <c r="S928" s="27"/>
      <c r="T928" s="36"/>
      <c r="U928" s="27"/>
      <c r="V928" s="36"/>
      <c r="W928" s="27"/>
      <c r="X928" s="36"/>
      <c r="Y928" s="27"/>
      <c r="Z928" s="37"/>
      <c r="AA928" s="75"/>
      <c r="AB928" s="50"/>
      <c r="AC928" s="50"/>
      <c r="AD928" s="51"/>
      <c r="AE928" s="52"/>
      <c r="AF928" s="27"/>
    </row>
    <row r="929" spans="2:32" s="32" customFormat="1" ht="15" x14ac:dyDescent="0.25">
      <c r="B929" s="504"/>
      <c r="C929" s="504"/>
      <c r="D929" s="434"/>
      <c r="E929" s="33">
        <v>1</v>
      </c>
      <c r="F929" s="33">
        <v>18</v>
      </c>
      <c r="G929" s="70" t="s">
        <v>131</v>
      </c>
      <c r="H929" s="33">
        <v>17</v>
      </c>
      <c r="I929" s="34">
        <v>1</v>
      </c>
      <c r="J929" s="36" t="s">
        <v>248</v>
      </c>
      <c r="K929" s="374" t="s">
        <v>290</v>
      </c>
      <c r="L929" s="375" t="s">
        <v>291</v>
      </c>
      <c r="M929" s="375" t="s">
        <v>292</v>
      </c>
      <c r="N929" s="36" t="s">
        <v>301</v>
      </c>
      <c r="O929" s="36" t="s">
        <v>301</v>
      </c>
      <c r="P929" s="50">
        <v>801667500</v>
      </c>
      <c r="Q929" s="36" t="s">
        <v>301</v>
      </c>
      <c r="R929" s="431">
        <f>P929+(P929*10%)</f>
        <v>881834250</v>
      </c>
      <c r="S929" s="36" t="s">
        <v>301</v>
      </c>
      <c r="T929" s="431">
        <f>R929+(R929*10%)</f>
        <v>970017675</v>
      </c>
      <c r="U929" s="36" t="s">
        <v>301</v>
      </c>
      <c r="V929" s="431">
        <f>T929+(T929*10%)</f>
        <v>1067019442.5</v>
      </c>
      <c r="W929" s="36" t="s">
        <v>301</v>
      </c>
      <c r="X929" s="431">
        <f>V929+(V929*10%)</f>
        <v>1173721386.75</v>
      </c>
      <c r="Y929" s="36" t="s">
        <v>301</v>
      </c>
      <c r="Z929" s="431">
        <f>X929+V929+T929+R929+P929</f>
        <v>4894260254.25</v>
      </c>
      <c r="AA929" s="52" t="str">
        <f>AA909</f>
        <v>Dinas Dikpora</v>
      </c>
      <c r="AB929" s="82"/>
      <c r="AC929" s="82"/>
      <c r="AD929" s="83"/>
      <c r="AE929" s="75"/>
      <c r="AF929" s="36" t="s">
        <v>146</v>
      </c>
    </row>
    <row r="930" spans="2:32" s="32" customFormat="1" ht="28.5" x14ac:dyDescent="0.25">
      <c r="B930" s="504"/>
      <c r="C930" s="504"/>
      <c r="D930" s="434"/>
      <c r="E930" s="33"/>
      <c r="F930" s="33"/>
      <c r="G930" s="70"/>
      <c r="H930" s="33"/>
      <c r="I930" s="70"/>
      <c r="J930" s="36"/>
      <c r="K930" s="374" t="s">
        <v>293</v>
      </c>
      <c r="L930" s="375" t="s">
        <v>291</v>
      </c>
      <c r="M930" s="362" t="s">
        <v>923</v>
      </c>
      <c r="N930" s="89" t="s">
        <v>1187</v>
      </c>
      <c r="O930" s="89" t="s">
        <v>1187</v>
      </c>
      <c r="P930" s="50"/>
      <c r="Q930" s="89" t="s">
        <v>1187</v>
      </c>
      <c r="R930" s="27"/>
      <c r="S930" s="89" t="s">
        <v>1187</v>
      </c>
      <c r="T930" s="27"/>
      <c r="U930" s="89" t="s">
        <v>1187</v>
      </c>
      <c r="V930" s="27"/>
      <c r="W930" s="89" t="s">
        <v>1187</v>
      </c>
      <c r="X930" s="27"/>
      <c r="Y930" s="89" t="s">
        <v>1187</v>
      </c>
      <c r="Z930" s="35"/>
      <c r="AA930" s="52"/>
      <c r="AB930" s="82">
        <f>SUM(AB937:AB971)</f>
        <v>1824499</v>
      </c>
      <c r="AC930" s="82">
        <f>SUM(AC937:AC971)</f>
        <v>2011598.9</v>
      </c>
      <c r="AD930" s="83"/>
      <c r="AE930" s="75"/>
      <c r="AF930" s="36"/>
    </row>
    <row r="931" spans="2:32" s="32" customFormat="1" ht="42.75" x14ac:dyDescent="0.25">
      <c r="B931" s="504"/>
      <c r="C931" s="462"/>
      <c r="D931" s="434"/>
      <c r="E931" s="33"/>
      <c r="F931" s="33"/>
      <c r="G931" s="70"/>
      <c r="H931" s="33"/>
      <c r="I931" s="70"/>
      <c r="J931" s="36"/>
      <c r="K931" s="374" t="s">
        <v>294</v>
      </c>
      <c r="L931" s="375" t="s">
        <v>291</v>
      </c>
      <c r="M931" s="362" t="s">
        <v>1545</v>
      </c>
      <c r="N931" s="89" t="s">
        <v>1187</v>
      </c>
      <c r="O931" s="89" t="s">
        <v>1187</v>
      </c>
      <c r="P931" s="50"/>
      <c r="Q931" s="89" t="s">
        <v>1187</v>
      </c>
      <c r="R931" s="27"/>
      <c r="S931" s="89" t="s">
        <v>1187</v>
      </c>
      <c r="T931" s="27"/>
      <c r="U931" s="89" t="s">
        <v>1187</v>
      </c>
      <c r="V931" s="27"/>
      <c r="W931" s="89" t="s">
        <v>1187</v>
      </c>
      <c r="X931" s="27"/>
      <c r="Y931" s="89" t="s">
        <v>1187</v>
      </c>
      <c r="Z931" s="35"/>
      <c r="AA931" s="52"/>
      <c r="AB931" s="82"/>
      <c r="AC931" s="82"/>
      <c r="AD931" s="83"/>
      <c r="AE931" s="75"/>
      <c r="AF931" s="36"/>
    </row>
    <row r="932" spans="2:32" s="32" customFormat="1" x14ac:dyDescent="0.3">
      <c r="B932" s="504"/>
      <c r="C932" s="462"/>
      <c r="D932" s="434"/>
      <c r="E932" s="33"/>
      <c r="F932" s="33"/>
      <c r="G932" s="70"/>
      <c r="H932" s="33"/>
      <c r="I932" s="70"/>
      <c r="J932" s="36"/>
      <c r="K932" s="374" t="s">
        <v>295</v>
      </c>
      <c r="L932" s="375" t="s">
        <v>291</v>
      </c>
      <c r="M932" s="400" t="s">
        <v>1546</v>
      </c>
      <c r="N932" s="89"/>
      <c r="O932" s="89"/>
      <c r="P932" s="50"/>
      <c r="Q932" s="89"/>
      <c r="R932" s="27"/>
      <c r="S932" s="89"/>
      <c r="T932" s="27"/>
      <c r="U932" s="89"/>
      <c r="V932" s="27"/>
      <c r="W932" s="89"/>
      <c r="X932" s="27"/>
      <c r="Y932" s="89"/>
      <c r="Z932" s="35"/>
      <c r="AA932" s="52"/>
      <c r="AB932" s="82"/>
      <c r="AC932" s="82"/>
      <c r="AD932" s="83"/>
      <c r="AE932" s="75"/>
      <c r="AF932" s="36"/>
    </row>
    <row r="933" spans="2:32" s="32" customFormat="1" x14ac:dyDescent="0.3">
      <c r="B933" s="505"/>
      <c r="C933" s="463"/>
      <c r="D933" s="439"/>
      <c r="E933" s="91"/>
      <c r="F933" s="91"/>
      <c r="G933" s="409"/>
      <c r="H933" s="91"/>
      <c r="I933" s="409"/>
      <c r="J933" s="92"/>
      <c r="K933" s="377" t="s">
        <v>297</v>
      </c>
      <c r="L933" s="378" t="s">
        <v>291</v>
      </c>
      <c r="M933" s="385" t="s">
        <v>1539</v>
      </c>
      <c r="N933" s="425"/>
      <c r="O933" s="425"/>
      <c r="P933" s="93"/>
      <c r="Q933" s="425"/>
      <c r="R933" s="393"/>
      <c r="S933" s="425"/>
      <c r="T933" s="393"/>
      <c r="U933" s="425"/>
      <c r="V933" s="393"/>
      <c r="W933" s="425"/>
      <c r="X933" s="393"/>
      <c r="Y933" s="425"/>
      <c r="Z933" s="418"/>
      <c r="AA933" s="95"/>
      <c r="AB933" s="419"/>
      <c r="AC933" s="419"/>
      <c r="AD933" s="420"/>
      <c r="AE933" s="408"/>
      <c r="AF933" s="92"/>
    </row>
    <row r="934" spans="2:32" s="32" customFormat="1" ht="15" x14ac:dyDescent="0.25">
      <c r="B934" s="36"/>
      <c r="C934" s="36"/>
      <c r="D934" s="434"/>
      <c r="E934" s="33"/>
      <c r="F934" s="33"/>
      <c r="G934" s="70"/>
      <c r="H934" s="33"/>
      <c r="I934" s="70"/>
      <c r="J934" s="36"/>
      <c r="K934" s="37"/>
      <c r="L934" s="46"/>
      <c r="M934" s="362"/>
      <c r="N934" s="89"/>
      <c r="O934" s="89"/>
      <c r="P934" s="50"/>
      <c r="Q934" s="89"/>
      <c r="R934" s="27"/>
      <c r="S934" s="89"/>
      <c r="T934" s="27"/>
      <c r="U934" s="89"/>
      <c r="V934" s="27"/>
      <c r="W934" s="89"/>
      <c r="X934" s="27"/>
      <c r="Y934" s="89"/>
      <c r="Z934" s="35"/>
      <c r="AA934" s="52"/>
      <c r="AB934" s="82"/>
      <c r="AC934" s="82"/>
      <c r="AD934" s="83"/>
      <c r="AE934" s="75"/>
      <c r="AF934" s="36"/>
    </row>
    <row r="935" spans="2:32" s="32" customFormat="1" ht="15" x14ac:dyDescent="0.25">
      <c r="B935" s="36"/>
      <c r="C935" s="36"/>
      <c r="D935" s="434"/>
      <c r="E935" s="33">
        <v>1</v>
      </c>
      <c r="F935" s="33">
        <v>18</v>
      </c>
      <c r="G935" s="70" t="s">
        <v>131</v>
      </c>
      <c r="H935" s="33">
        <v>17</v>
      </c>
      <c r="I935" s="34">
        <v>2</v>
      </c>
      <c r="J935" s="36" t="s">
        <v>249</v>
      </c>
      <c r="K935" s="374" t="s">
        <v>290</v>
      </c>
      <c r="L935" s="375" t="s">
        <v>291</v>
      </c>
      <c r="M935" s="375" t="s">
        <v>292</v>
      </c>
      <c r="N935" s="36" t="s">
        <v>301</v>
      </c>
      <c r="O935" s="36" t="s">
        <v>301</v>
      </c>
      <c r="P935" s="50">
        <v>483042500</v>
      </c>
      <c r="Q935" s="36" t="s">
        <v>301</v>
      </c>
      <c r="R935" s="431">
        <f>P935+(P935*10%)</f>
        <v>531346750</v>
      </c>
      <c r="S935" s="36" t="s">
        <v>301</v>
      </c>
      <c r="T935" s="431">
        <f>R935+(R935*10%)</f>
        <v>584481425</v>
      </c>
      <c r="U935" s="36" t="s">
        <v>301</v>
      </c>
      <c r="V935" s="431">
        <f>T935+(T935*10%)</f>
        <v>642929567.5</v>
      </c>
      <c r="W935" s="36" t="s">
        <v>301</v>
      </c>
      <c r="X935" s="431">
        <f>V935+(V935*10%)</f>
        <v>707222524.25</v>
      </c>
      <c r="Y935" s="36" t="s">
        <v>301</v>
      </c>
      <c r="Z935" s="431">
        <f>X935+V935+T935+R935+P935</f>
        <v>2949022766.75</v>
      </c>
      <c r="AA935" s="52" t="str">
        <f>AA929</f>
        <v>Dinas Dikpora</v>
      </c>
      <c r="AB935" s="82"/>
      <c r="AC935" s="82"/>
      <c r="AD935" s="83"/>
      <c r="AE935" s="75"/>
      <c r="AF935" s="36" t="s">
        <v>75</v>
      </c>
    </row>
    <row r="936" spans="2:32" s="87" customFormat="1" ht="28.5" x14ac:dyDescent="0.25">
      <c r="B936" s="27"/>
      <c r="C936" s="27"/>
      <c r="D936" s="434"/>
      <c r="E936" s="33"/>
      <c r="F936" s="33"/>
      <c r="G936" s="70"/>
      <c r="H936" s="33"/>
      <c r="I936" s="34"/>
      <c r="J936" s="36"/>
      <c r="K936" s="374" t="s">
        <v>293</v>
      </c>
      <c r="L936" s="375" t="s">
        <v>291</v>
      </c>
      <c r="M936" s="362" t="s">
        <v>1373</v>
      </c>
      <c r="N936" s="36" t="s">
        <v>928</v>
      </c>
      <c r="O936" s="36" t="s">
        <v>928</v>
      </c>
      <c r="P936" s="50"/>
      <c r="Q936" s="36" t="s">
        <v>928</v>
      </c>
      <c r="R936" s="27"/>
      <c r="S936" s="36" t="s">
        <v>928</v>
      </c>
      <c r="T936" s="27"/>
      <c r="U936" s="36" t="s">
        <v>928</v>
      </c>
      <c r="V936" s="27"/>
      <c r="W936" s="36" t="s">
        <v>928</v>
      </c>
      <c r="X936" s="27"/>
      <c r="Y936" s="36" t="s">
        <v>928</v>
      </c>
      <c r="Z936" s="35"/>
      <c r="AA936" s="52"/>
      <c r="AB936" s="82"/>
      <c r="AC936" s="82"/>
      <c r="AD936" s="83"/>
      <c r="AE936" s="75"/>
      <c r="AF936" s="36"/>
    </row>
    <row r="937" spans="2:32" ht="28.5" x14ac:dyDescent="0.3">
      <c r="B937" s="36"/>
      <c r="C937" s="36"/>
      <c r="E937" s="33"/>
      <c r="F937" s="33"/>
      <c r="G937" s="33"/>
      <c r="H937" s="33"/>
      <c r="I937" s="33"/>
      <c r="J937" s="36"/>
      <c r="K937" s="37"/>
      <c r="L937" s="375" t="s">
        <v>291</v>
      </c>
      <c r="M937" s="362" t="s">
        <v>1374</v>
      </c>
      <c r="N937" s="36" t="s">
        <v>1188</v>
      </c>
      <c r="O937" s="36" t="s">
        <v>1188</v>
      </c>
      <c r="P937" s="50"/>
      <c r="Q937" s="36" t="s">
        <v>1188</v>
      </c>
      <c r="R937" s="36"/>
      <c r="S937" s="36" t="s">
        <v>1188</v>
      </c>
      <c r="T937" s="36"/>
      <c r="U937" s="36" t="s">
        <v>1188</v>
      </c>
      <c r="V937" s="36"/>
      <c r="W937" s="36" t="s">
        <v>1188</v>
      </c>
      <c r="X937" s="36"/>
      <c r="Y937" s="36" t="s">
        <v>1188</v>
      </c>
      <c r="Z937" s="37"/>
      <c r="AA937" s="52" t="str">
        <f>AA935</f>
        <v>Dinas Dikpora</v>
      </c>
      <c r="AB937" s="50">
        <v>27582</v>
      </c>
      <c r="AC937" s="50">
        <f>AB937+(AB937*10%)</f>
        <v>30340.2</v>
      </c>
      <c r="AD937" s="51" t="s">
        <v>66</v>
      </c>
      <c r="AE937" s="52" t="s">
        <v>81</v>
      </c>
      <c r="AF937" s="36"/>
    </row>
    <row r="938" spans="2:32" ht="42.75" x14ac:dyDescent="0.3">
      <c r="B938" s="36"/>
      <c r="C938" s="36"/>
      <c r="E938" s="33"/>
      <c r="F938" s="33"/>
      <c r="G938" s="33"/>
      <c r="H938" s="33"/>
      <c r="I938" s="33"/>
      <c r="J938" s="36"/>
      <c r="K938" s="37"/>
      <c r="L938" s="375" t="s">
        <v>291</v>
      </c>
      <c r="M938" s="362" t="s">
        <v>1375</v>
      </c>
      <c r="N938" s="89" t="s">
        <v>146</v>
      </c>
      <c r="O938" s="89" t="s">
        <v>146</v>
      </c>
      <c r="P938" s="50"/>
      <c r="Q938" s="89" t="s">
        <v>146</v>
      </c>
      <c r="R938" s="36"/>
      <c r="S938" s="89" t="s">
        <v>146</v>
      </c>
      <c r="T938" s="36"/>
      <c r="U938" s="89" t="s">
        <v>146</v>
      </c>
      <c r="V938" s="36"/>
      <c r="W938" s="89" t="s">
        <v>146</v>
      </c>
      <c r="X938" s="36"/>
      <c r="Y938" s="89" t="s">
        <v>146</v>
      </c>
      <c r="Z938" s="37"/>
      <c r="AA938" s="52" t="str">
        <f>AA937</f>
        <v>Dinas Dikpora</v>
      </c>
      <c r="AB938" s="50"/>
      <c r="AC938" s="50"/>
      <c r="AD938" s="51"/>
      <c r="AE938" s="52"/>
      <c r="AF938" s="36"/>
    </row>
    <row r="939" spans="2:32" ht="28.5" x14ac:dyDescent="0.3">
      <c r="B939" s="36"/>
      <c r="C939" s="36"/>
      <c r="E939" s="33"/>
      <c r="F939" s="33"/>
      <c r="G939" s="33"/>
      <c r="H939" s="33"/>
      <c r="I939" s="33"/>
      <c r="J939" s="36"/>
      <c r="K939" s="37"/>
      <c r="L939" s="375" t="s">
        <v>291</v>
      </c>
      <c r="M939" s="362" t="s">
        <v>930</v>
      </c>
      <c r="N939" s="89"/>
      <c r="O939" s="89"/>
      <c r="P939" s="50"/>
      <c r="Q939" s="89"/>
      <c r="R939" s="36"/>
      <c r="S939" s="89"/>
      <c r="T939" s="36"/>
      <c r="U939" s="89"/>
      <c r="V939" s="36"/>
      <c r="W939" s="89"/>
      <c r="X939" s="36"/>
      <c r="Y939" s="89"/>
      <c r="Z939" s="37"/>
      <c r="AA939" s="52" t="str">
        <f>AA938</f>
        <v>Dinas Dikpora</v>
      </c>
      <c r="AB939" s="50">
        <v>87935</v>
      </c>
      <c r="AC939" s="50">
        <f>AB939+(AB939*10%)</f>
        <v>96728.5</v>
      </c>
      <c r="AD939" s="51" t="str">
        <f>AD937</f>
        <v>Dinas Dikpora</v>
      </c>
      <c r="AE939" s="52" t="s">
        <v>81</v>
      </c>
      <c r="AF939" s="36"/>
    </row>
    <row r="940" spans="2:32" x14ac:dyDescent="0.3">
      <c r="B940" s="36"/>
      <c r="C940" s="36"/>
      <c r="E940" s="33"/>
      <c r="F940" s="33"/>
      <c r="G940" s="33"/>
      <c r="H940" s="33"/>
      <c r="I940" s="33"/>
      <c r="J940" s="40"/>
      <c r="K940" s="43"/>
      <c r="L940" s="375" t="s">
        <v>291</v>
      </c>
      <c r="M940" s="362" t="s">
        <v>931</v>
      </c>
      <c r="N940" s="89"/>
      <c r="O940" s="89"/>
      <c r="P940" s="50"/>
      <c r="Q940" s="89"/>
      <c r="R940" s="36"/>
      <c r="S940" s="89"/>
      <c r="T940" s="36"/>
      <c r="U940" s="89"/>
      <c r="V940" s="36"/>
      <c r="W940" s="89"/>
      <c r="X940" s="36"/>
      <c r="Y940" s="89"/>
      <c r="Z940" s="37"/>
      <c r="AA940" s="52"/>
      <c r="AB940" s="50"/>
      <c r="AC940" s="50"/>
      <c r="AD940" s="51"/>
      <c r="AE940" s="52"/>
      <c r="AF940" s="36"/>
    </row>
    <row r="941" spans="2:32" ht="28.5" x14ac:dyDescent="0.3">
      <c r="B941" s="36"/>
      <c r="C941" s="36"/>
      <c r="E941" s="33"/>
      <c r="F941" s="33"/>
      <c r="G941" s="33"/>
      <c r="H941" s="33"/>
      <c r="I941" s="33"/>
      <c r="J941" s="40"/>
      <c r="K941" s="374" t="s">
        <v>294</v>
      </c>
      <c r="L941" s="375" t="s">
        <v>291</v>
      </c>
      <c r="M941" s="362" t="s">
        <v>1547</v>
      </c>
      <c r="N941" s="36" t="s">
        <v>928</v>
      </c>
      <c r="O941" s="36" t="s">
        <v>928</v>
      </c>
      <c r="P941" s="50"/>
      <c r="Q941" s="36" t="s">
        <v>928</v>
      </c>
      <c r="R941" s="36"/>
      <c r="S941" s="36" t="s">
        <v>928</v>
      </c>
      <c r="T941" s="36"/>
      <c r="U941" s="36" t="s">
        <v>928</v>
      </c>
      <c r="V941" s="36"/>
      <c r="W941" s="36" t="s">
        <v>928</v>
      </c>
      <c r="X941" s="36"/>
      <c r="Y941" s="36" t="s">
        <v>928</v>
      </c>
      <c r="Z941" s="37"/>
      <c r="AA941" s="52"/>
      <c r="AB941" s="50"/>
      <c r="AC941" s="50"/>
      <c r="AD941" s="51"/>
      <c r="AE941" s="52"/>
      <c r="AF941" s="36"/>
    </row>
    <row r="942" spans="2:32" ht="28.5" x14ac:dyDescent="0.3">
      <c r="B942" s="36"/>
      <c r="C942" s="36"/>
      <c r="E942" s="33"/>
      <c r="F942" s="33"/>
      <c r="G942" s="33"/>
      <c r="H942" s="33"/>
      <c r="I942" s="33"/>
      <c r="J942" s="40"/>
      <c r="K942" s="374" t="s">
        <v>295</v>
      </c>
      <c r="L942" s="375" t="s">
        <v>291</v>
      </c>
      <c r="M942" s="400" t="s">
        <v>954</v>
      </c>
      <c r="N942" s="89"/>
      <c r="O942" s="89"/>
      <c r="P942" s="50"/>
      <c r="Q942" s="89"/>
      <c r="R942" s="36"/>
      <c r="S942" s="89"/>
      <c r="T942" s="36"/>
      <c r="U942" s="89"/>
      <c r="V942" s="36"/>
      <c r="W942" s="89"/>
      <c r="X942" s="36"/>
      <c r="Y942" s="89"/>
      <c r="Z942" s="37"/>
      <c r="AA942" s="52"/>
      <c r="AB942" s="50"/>
      <c r="AC942" s="50"/>
      <c r="AD942" s="51"/>
      <c r="AE942" s="52"/>
      <c r="AF942" s="36"/>
    </row>
    <row r="943" spans="2:32" x14ac:dyDescent="0.3">
      <c r="B943" s="92"/>
      <c r="C943" s="92"/>
      <c r="D943" s="445"/>
      <c r="E943" s="91"/>
      <c r="F943" s="91"/>
      <c r="G943" s="91"/>
      <c r="H943" s="91"/>
      <c r="I943" s="91"/>
      <c r="J943" s="422"/>
      <c r="K943" s="377" t="s">
        <v>297</v>
      </c>
      <c r="L943" s="378" t="s">
        <v>291</v>
      </c>
      <c r="M943" s="385" t="s">
        <v>955</v>
      </c>
      <c r="N943" s="425"/>
      <c r="O943" s="425"/>
      <c r="P943" s="93"/>
      <c r="Q943" s="425"/>
      <c r="R943" s="92"/>
      <c r="S943" s="425"/>
      <c r="T943" s="92"/>
      <c r="U943" s="425"/>
      <c r="V943" s="92"/>
      <c r="W943" s="425"/>
      <c r="X943" s="92"/>
      <c r="Y943" s="425"/>
      <c r="Z943" s="101"/>
      <c r="AA943" s="95"/>
      <c r="AB943" s="93"/>
      <c r="AC943" s="93"/>
      <c r="AD943" s="94"/>
      <c r="AE943" s="95"/>
      <c r="AF943" s="92"/>
    </row>
    <row r="944" spans="2:32" x14ac:dyDescent="0.3">
      <c r="B944" s="36"/>
      <c r="C944" s="36"/>
      <c r="E944" s="33"/>
      <c r="F944" s="33"/>
      <c r="G944" s="33"/>
      <c r="H944" s="33"/>
      <c r="I944" s="33"/>
      <c r="J944" s="40"/>
      <c r="K944" s="43"/>
      <c r="L944" s="375"/>
      <c r="M944" s="362"/>
      <c r="N944" s="89"/>
      <c r="O944" s="89"/>
      <c r="P944" s="50"/>
      <c r="Q944" s="89"/>
      <c r="R944" s="36"/>
      <c r="S944" s="89"/>
      <c r="T944" s="36"/>
      <c r="U944" s="89"/>
      <c r="V944" s="36"/>
      <c r="W944" s="89"/>
      <c r="X944" s="36"/>
      <c r="Y944" s="89"/>
      <c r="Z944" s="37"/>
      <c r="AA944" s="52"/>
      <c r="AB944" s="50"/>
      <c r="AC944" s="50"/>
      <c r="AD944" s="51"/>
      <c r="AE944" s="52"/>
      <c r="AF944" s="36"/>
    </row>
    <row r="945" spans="2:32" ht="28.5" x14ac:dyDescent="0.3">
      <c r="B945" s="36"/>
      <c r="C945" s="36"/>
      <c r="E945" s="33">
        <v>1</v>
      </c>
      <c r="F945" s="33">
        <v>18</v>
      </c>
      <c r="G945" s="70" t="s">
        <v>131</v>
      </c>
      <c r="H945" s="33">
        <v>17</v>
      </c>
      <c r="I945" s="34">
        <v>3</v>
      </c>
      <c r="J945" s="36" t="s">
        <v>250</v>
      </c>
      <c r="K945" s="374" t="s">
        <v>290</v>
      </c>
      <c r="L945" s="375" t="s">
        <v>291</v>
      </c>
      <c r="M945" s="375" t="s">
        <v>292</v>
      </c>
      <c r="N945" s="36" t="s">
        <v>301</v>
      </c>
      <c r="O945" s="36" t="s">
        <v>301</v>
      </c>
      <c r="P945" s="50">
        <v>1659525000</v>
      </c>
      <c r="Q945" s="36" t="s">
        <v>301</v>
      </c>
      <c r="R945" s="431">
        <f>P945+(P945*10%)</f>
        <v>1825477500</v>
      </c>
      <c r="S945" s="36" t="s">
        <v>301</v>
      </c>
      <c r="T945" s="431">
        <f>R945+(R945*10%)</f>
        <v>2008025250</v>
      </c>
      <c r="U945" s="36" t="s">
        <v>301</v>
      </c>
      <c r="V945" s="431">
        <f>T945+(T945*10%)</f>
        <v>2208827775</v>
      </c>
      <c r="W945" s="36" t="s">
        <v>301</v>
      </c>
      <c r="X945" s="431">
        <f>V945+(V945*10%)</f>
        <v>2429710552.5</v>
      </c>
      <c r="Y945" s="36" t="s">
        <v>301</v>
      </c>
      <c r="Z945" s="431">
        <f>X945+V945+T945+R945+P945</f>
        <v>10131566077.5</v>
      </c>
      <c r="AA945" s="52" t="str">
        <f>AA935</f>
        <v>Dinas Dikpora</v>
      </c>
      <c r="AB945" s="50">
        <v>194000</v>
      </c>
      <c r="AC945" s="50">
        <f>AB945+(AB945*10%)</f>
        <v>213400</v>
      </c>
      <c r="AD945" s="51" t="str">
        <f>AD939</f>
        <v>Dinas Dikpora</v>
      </c>
      <c r="AE945" s="52" t="s">
        <v>81</v>
      </c>
      <c r="AF945" s="36" t="s">
        <v>75</v>
      </c>
    </row>
    <row r="946" spans="2:32" ht="28.5" x14ac:dyDescent="0.3">
      <c r="B946" s="36"/>
      <c r="C946" s="36"/>
      <c r="E946" s="33"/>
      <c r="F946" s="33"/>
      <c r="G946" s="33"/>
      <c r="H946" s="33"/>
      <c r="I946" s="33"/>
      <c r="J946" s="40"/>
      <c r="K946" s="374" t="s">
        <v>293</v>
      </c>
      <c r="L946" s="375" t="s">
        <v>291</v>
      </c>
      <c r="M946" s="362" t="s">
        <v>932</v>
      </c>
      <c r="N946" s="36" t="s">
        <v>933</v>
      </c>
      <c r="O946" s="36" t="s">
        <v>933</v>
      </c>
      <c r="P946" s="50"/>
      <c r="Q946" s="36" t="s">
        <v>933</v>
      </c>
      <c r="R946" s="36"/>
      <c r="S946" s="36" t="s">
        <v>933</v>
      </c>
      <c r="T946" s="36"/>
      <c r="U946" s="36" t="s">
        <v>933</v>
      </c>
      <c r="V946" s="36"/>
      <c r="W946" s="36" t="s">
        <v>933</v>
      </c>
      <c r="X946" s="36"/>
      <c r="Y946" s="36" t="s">
        <v>933</v>
      </c>
      <c r="Z946" s="37"/>
      <c r="AA946" s="52"/>
      <c r="AB946" s="50"/>
      <c r="AC946" s="50"/>
      <c r="AD946" s="51"/>
      <c r="AE946" s="52"/>
      <c r="AF946" s="36"/>
    </row>
    <row r="947" spans="2:32" ht="28.5" x14ac:dyDescent="0.3">
      <c r="B947" s="36"/>
      <c r="C947" s="36"/>
      <c r="E947" s="33"/>
      <c r="F947" s="33"/>
      <c r="G947" s="33"/>
      <c r="H947" s="33"/>
      <c r="I947" s="33"/>
      <c r="J947" s="40"/>
      <c r="K947" s="374" t="s">
        <v>294</v>
      </c>
      <c r="L947" s="375" t="s">
        <v>291</v>
      </c>
      <c r="M947" s="362" t="s">
        <v>1548</v>
      </c>
      <c r="N947" s="36" t="s">
        <v>933</v>
      </c>
      <c r="O947" s="36" t="s">
        <v>933</v>
      </c>
      <c r="P947" s="50"/>
      <c r="Q947" s="36" t="s">
        <v>933</v>
      </c>
      <c r="R947" s="36"/>
      <c r="S947" s="36" t="s">
        <v>933</v>
      </c>
      <c r="T947" s="36"/>
      <c r="U947" s="36" t="s">
        <v>933</v>
      </c>
      <c r="V947" s="36"/>
      <c r="W947" s="36" t="s">
        <v>933</v>
      </c>
      <c r="X947" s="36"/>
      <c r="Y947" s="36" t="s">
        <v>933</v>
      </c>
      <c r="Z947" s="37"/>
      <c r="AA947" s="52"/>
      <c r="AB947" s="50"/>
      <c r="AC947" s="50"/>
      <c r="AD947" s="51"/>
      <c r="AE947" s="52"/>
      <c r="AF947" s="36"/>
    </row>
    <row r="948" spans="2:32" ht="28.5" x14ac:dyDescent="0.3">
      <c r="B948" s="36"/>
      <c r="C948" s="36"/>
      <c r="E948" s="33"/>
      <c r="F948" s="33"/>
      <c r="G948" s="33"/>
      <c r="H948" s="33"/>
      <c r="I948" s="33"/>
      <c r="J948" s="40"/>
      <c r="K948" s="374" t="s">
        <v>295</v>
      </c>
      <c r="L948" s="375" t="s">
        <v>291</v>
      </c>
      <c r="M948" s="400" t="s">
        <v>954</v>
      </c>
      <c r="N948" s="36"/>
      <c r="O948" s="36"/>
      <c r="P948" s="50"/>
      <c r="Q948" s="36"/>
      <c r="R948" s="36"/>
      <c r="S948" s="36"/>
      <c r="T948" s="36"/>
      <c r="U948" s="36"/>
      <c r="V948" s="36"/>
      <c r="W948" s="36"/>
      <c r="X948" s="36"/>
      <c r="Y948" s="36"/>
      <c r="Z948" s="37"/>
      <c r="AA948" s="52"/>
      <c r="AB948" s="50"/>
      <c r="AC948" s="50"/>
      <c r="AD948" s="51"/>
      <c r="AE948" s="52"/>
      <c r="AF948" s="36"/>
    </row>
    <row r="949" spans="2:32" x14ac:dyDescent="0.3">
      <c r="B949" s="92"/>
      <c r="C949" s="92"/>
      <c r="D949" s="445"/>
      <c r="E949" s="91"/>
      <c r="F949" s="91"/>
      <c r="G949" s="91"/>
      <c r="H949" s="91"/>
      <c r="I949" s="91"/>
      <c r="J949" s="422"/>
      <c r="K949" s="377" t="s">
        <v>297</v>
      </c>
      <c r="L949" s="378" t="s">
        <v>291</v>
      </c>
      <c r="M949" s="385" t="s">
        <v>955</v>
      </c>
      <c r="N949" s="92"/>
      <c r="O949" s="92"/>
      <c r="P949" s="93"/>
      <c r="Q949" s="92"/>
      <c r="R949" s="92"/>
      <c r="S949" s="92"/>
      <c r="T949" s="92"/>
      <c r="U949" s="92"/>
      <c r="V949" s="92"/>
      <c r="W949" s="92"/>
      <c r="X949" s="92"/>
      <c r="Y949" s="92"/>
      <c r="Z949" s="101"/>
      <c r="AA949" s="95"/>
      <c r="AB949" s="93"/>
      <c r="AC949" s="93"/>
      <c r="AD949" s="94"/>
      <c r="AE949" s="95"/>
      <c r="AF949" s="92"/>
    </row>
    <row r="950" spans="2:32" x14ac:dyDescent="0.3">
      <c r="B950" s="36"/>
      <c r="C950" s="36"/>
      <c r="E950" s="33"/>
      <c r="F950" s="33"/>
      <c r="G950" s="33"/>
      <c r="H950" s="33"/>
      <c r="I950" s="33"/>
      <c r="J950" s="40"/>
      <c r="K950" s="43"/>
      <c r="L950" s="368"/>
      <c r="M950" s="362"/>
      <c r="N950" s="36"/>
      <c r="O950" s="36"/>
      <c r="P950" s="50"/>
      <c r="Q950" s="36"/>
      <c r="R950" s="36"/>
      <c r="S950" s="36"/>
      <c r="T950" s="36"/>
      <c r="U950" s="36"/>
      <c r="V950" s="36"/>
      <c r="W950" s="36"/>
      <c r="X950" s="36"/>
      <c r="Y950" s="36"/>
      <c r="Z950" s="37"/>
      <c r="AA950" s="52"/>
      <c r="AB950" s="50"/>
      <c r="AC950" s="50"/>
      <c r="AD950" s="51"/>
      <c r="AE950" s="52"/>
      <c r="AF950" s="36"/>
    </row>
    <row r="951" spans="2:32" ht="28.5" x14ac:dyDescent="0.3">
      <c r="B951" s="36"/>
      <c r="C951" s="36"/>
      <c r="E951" s="33">
        <v>1</v>
      </c>
      <c r="F951" s="33">
        <v>18</v>
      </c>
      <c r="G951" s="70" t="s">
        <v>131</v>
      </c>
      <c r="H951" s="33">
        <v>17</v>
      </c>
      <c r="I951" s="34">
        <v>4</v>
      </c>
      <c r="J951" s="36" t="s">
        <v>251</v>
      </c>
      <c r="K951" s="374" t="s">
        <v>290</v>
      </c>
      <c r="L951" s="375" t="s">
        <v>291</v>
      </c>
      <c r="M951" s="375" t="s">
        <v>292</v>
      </c>
      <c r="N951" s="36" t="s">
        <v>301</v>
      </c>
      <c r="O951" s="36" t="s">
        <v>301</v>
      </c>
      <c r="P951" s="50">
        <v>1364077500</v>
      </c>
      <c r="Q951" s="36" t="s">
        <v>301</v>
      </c>
      <c r="R951" s="431">
        <f>P951+(P951*10%)</f>
        <v>1500485250</v>
      </c>
      <c r="S951" s="36" t="s">
        <v>301</v>
      </c>
      <c r="T951" s="431">
        <f>R951+(R951*10%)</f>
        <v>1650533775</v>
      </c>
      <c r="U951" s="36" t="s">
        <v>301</v>
      </c>
      <c r="V951" s="431">
        <f>T951+(T951*10%)</f>
        <v>1815587152.5</v>
      </c>
      <c r="W951" s="36" t="s">
        <v>301</v>
      </c>
      <c r="X951" s="431">
        <f>V951+(V951*10%)</f>
        <v>1997145867.75</v>
      </c>
      <c r="Y951" s="36" t="s">
        <v>301</v>
      </c>
      <c r="Z951" s="431">
        <f>X951+V951+T951+R951+P951</f>
        <v>8327829545.25</v>
      </c>
      <c r="AA951" s="52" t="str">
        <f>AA945</f>
        <v>Dinas Dikpora</v>
      </c>
      <c r="AB951" s="50">
        <v>1000000</v>
      </c>
      <c r="AC951" s="50">
        <f>AB951+(AB951*10%)</f>
        <v>1100000</v>
      </c>
      <c r="AD951" s="51" t="str">
        <f>AD945</f>
        <v>Dinas Dikpora</v>
      </c>
      <c r="AE951" s="52" t="s">
        <v>81</v>
      </c>
      <c r="AF951" s="36" t="s">
        <v>75</v>
      </c>
    </row>
    <row r="952" spans="2:32" ht="99.75" x14ac:dyDescent="0.3">
      <c r="B952" s="36"/>
      <c r="C952" s="36"/>
      <c r="E952" s="33"/>
      <c r="F952" s="33"/>
      <c r="G952" s="33"/>
      <c r="H952" s="33"/>
      <c r="I952" s="33"/>
      <c r="J952" s="36"/>
      <c r="K952" s="374" t="s">
        <v>293</v>
      </c>
      <c r="L952" s="375" t="s">
        <v>291</v>
      </c>
      <c r="M952" s="362" t="s">
        <v>1376</v>
      </c>
      <c r="N952" s="89" t="s">
        <v>935</v>
      </c>
      <c r="O952" s="89" t="s">
        <v>935</v>
      </c>
      <c r="P952" s="50"/>
      <c r="Q952" s="89" t="s">
        <v>935</v>
      </c>
      <c r="R952" s="36"/>
      <c r="S952" s="89" t="s">
        <v>935</v>
      </c>
      <c r="T952" s="36"/>
      <c r="U952" s="89" t="s">
        <v>935</v>
      </c>
      <c r="V952" s="36"/>
      <c r="W952" s="89" t="s">
        <v>935</v>
      </c>
      <c r="X952" s="36"/>
      <c r="Y952" s="89" t="s">
        <v>935</v>
      </c>
      <c r="Z952" s="37"/>
      <c r="AA952" s="52"/>
      <c r="AB952" s="50"/>
      <c r="AC952" s="50"/>
      <c r="AD952" s="51"/>
      <c r="AE952" s="52"/>
      <c r="AF952" s="36"/>
    </row>
    <row r="953" spans="2:32" ht="99.75" x14ac:dyDescent="0.3">
      <c r="B953" s="36"/>
      <c r="C953" s="36"/>
      <c r="E953" s="33"/>
      <c r="F953" s="33"/>
      <c r="G953" s="33"/>
      <c r="H953" s="33"/>
      <c r="I953" s="33"/>
      <c r="J953" s="36"/>
      <c r="K953" s="374" t="s">
        <v>294</v>
      </c>
      <c r="L953" s="375" t="s">
        <v>291</v>
      </c>
      <c r="M953" s="362" t="s">
        <v>1549</v>
      </c>
      <c r="N953" s="89" t="s">
        <v>935</v>
      </c>
      <c r="O953" s="89" t="s">
        <v>935</v>
      </c>
      <c r="P953" s="50"/>
      <c r="Q953" s="89" t="s">
        <v>935</v>
      </c>
      <c r="R953" s="36"/>
      <c r="S953" s="89" t="s">
        <v>935</v>
      </c>
      <c r="T953" s="36"/>
      <c r="U953" s="89" t="s">
        <v>935</v>
      </c>
      <c r="V953" s="36"/>
      <c r="W953" s="89" t="s">
        <v>935</v>
      </c>
      <c r="X953" s="36"/>
      <c r="Y953" s="89" t="s">
        <v>935</v>
      </c>
      <c r="Z953" s="37"/>
      <c r="AA953" s="52"/>
      <c r="AB953" s="50"/>
      <c r="AC953" s="50"/>
      <c r="AD953" s="51"/>
      <c r="AE953" s="52"/>
      <c r="AF953" s="36"/>
    </row>
    <row r="954" spans="2:32" ht="28.5" x14ac:dyDescent="0.3">
      <c r="B954" s="36"/>
      <c r="C954" s="36"/>
      <c r="E954" s="33"/>
      <c r="F954" s="33"/>
      <c r="G954" s="33"/>
      <c r="H954" s="33"/>
      <c r="I954" s="33"/>
      <c r="J954" s="36"/>
      <c r="K954" s="374" t="s">
        <v>295</v>
      </c>
      <c r="L954" s="375" t="s">
        <v>291</v>
      </c>
      <c r="M954" s="400" t="s">
        <v>1550</v>
      </c>
      <c r="N954" s="89"/>
      <c r="O954" s="89"/>
      <c r="P954" s="50"/>
      <c r="Q954" s="89"/>
      <c r="R954" s="36"/>
      <c r="S954" s="89"/>
      <c r="T954" s="36"/>
      <c r="U954" s="89"/>
      <c r="V954" s="36"/>
      <c r="W954" s="89"/>
      <c r="X954" s="36"/>
      <c r="Y954" s="89"/>
      <c r="Z954" s="37"/>
      <c r="AA954" s="52"/>
      <c r="AB954" s="50"/>
      <c r="AC954" s="50"/>
      <c r="AD954" s="51"/>
      <c r="AE954" s="52"/>
      <c r="AF954" s="36"/>
    </row>
    <row r="955" spans="2:32" x14ac:dyDescent="0.3">
      <c r="B955" s="92"/>
      <c r="C955" s="92"/>
      <c r="D955" s="445"/>
      <c r="E955" s="91"/>
      <c r="F955" s="91"/>
      <c r="G955" s="91"/>
      <c r="H955" s="91"/>
      <c r="I955" s="91"/>
      <c r="J955" s="92"/>
      <c r="K955" s="377" t="s">
        <v>297</v>
      </c>
      <c r="L955" s="378" t="s">
        <v>291</v>
      </c>
      <c r="M955" s="385" t="s">
        <v>861</v>
      </c>
      <c r="N955" s="425"/>
      <c r="O955" s="425"/>
      <c r="P955" s="93"/>
      <c r="Q955" s="425"/>
      <c r="R955" s="92"/>
      <c r="S955" s="425"/>
      <c r="T955" s="92"/>
      <c r="U955" s="425"/>
      <c r="V955" s="92"/>
      <c r="W955" s="425"/>
      <c r="X955" s="92"/>
      <c r="Y955" s="425"/>
      <c r="Z955" s="101"/>
      <c r="AA955" s="95"/>
      <c r="AB955" s="93"/>
      <c r="AC955" s="93"/>
      <c r="AD955" s="94"/>
      <c r="AE955" s="95"/>
      <c r="AF955" s="92"/>
    </row>
    <row r="956" spans="2:32" x14ac:dyDescent="0.3">
      <c r="B956" s="36"/>
      <c r="C956" s="36"/>
      <c r="E956" s="33"/>
      <c r="F956" s="33"/>
      <c r="G956" s="33"/>
      <c r="H956" s="33"/>
      <c r="I956" s="33"/>
      <c r="J956" s="36"/>
      <c r="K956" s="374"/>
      <c r="L956" s="375"/>
      <c r="M956" s="362"/>
      <c r="N956" s="89"/>
      <c r="O956" s="89"/>
      <c r="P956" s="50"/>
      <c r="Q956" s="89"/>
      <c r="R956" s="36"/>
      <c r="S956" s="89"/>
      <c r="T956" s="36"/>
      <c r="U956" s="89"/>
      <c r="V956" s="36"/>
      <c r="W956" s="89"/>
      <c r="X956" s="36"/>
      <c r="Y956" s="89"/>
      <c r="Z956" s="37"/>
      <c r="AA956" s="52"/>
      <c r="AB956" s="50"/>
      <c r="AC956" s="50"/>
      <c r="AD956" s="51"/>
      <c r="AE956" s="52"/>
      <c r="AF956" s="36"/>
    </row>
    <row r="957" spans="2:32" ht="28.5" x14ac:dyDescent="0.3">
      <c r="B957" s="36"/>
      <c r="C957" s="36"/>
      <c r="E957" s="33">
        <v>1</v>
      </c>
      <c r="F957" s="33">
        <v>18</v>
      </c>
      <c r="G957" s="70" t="s">
        <v>131</v>
      </c>
      <c r="H957" s="33">
        <v>17</v>
      </c>
      <c r="I957" s="34">
        <v>5</v>
      </c>
      <c r="J957" s="36" t="s">
        <v>252</v>
      </c>
      <c r="K957" s="374" t="s">
        <v>290</v>
      </c>
      <c r="L957" s="375" t="s">
        <v>291</v>
      </c>
      <c r="M957" s="375" t="s">
        <v>292</v>
      </c>
      <c r="N957" s="36" t="s">
        <v>301</v>
      </c>
      <c r="O957" s="36" t="s">
        <v>301</v>
      </c>
      <c r="P957" s="50">
        <v>263960000</v>
      </c>
      <c r="Q957" s="36" t="s">
        <v>301</v>
      </c>
      <c r="R957" s="431">
        <f>P957+(P957*10%)</f>
        <v>290356000</v>
      </c>
      <c r="S957" s="36" t="s">
        <v>301</v>
      </c>
      <c r="T957" s="431">
        <f>R957+(R957*10%)</f>
        <v>319391600</v>
      </c>
      <c r="U957" s="36" t="s">
        <v>301</v>
      </c>
      <c r="V957" s="431">
        <f>T957+(T957*10%)</f>
        <v>351330760</v>
      </c>
      <c r="W957" s="36" t="s">
        <v>301</v>
      </c>
      <c r="X957" s="431">
        <f>V957+(V957*10%)</f>
        <v>386463836</v>
      </c>
      <c r="Y957" s="36" t="s">
        <v>301</v>
      </c>
      <c r="Z957" s="431">
        <f>X957+V957+T957+R957+P957</f>
        <v>1611502196</v>
      </c>
      <c r="AA957" s="52" t="str">
        <f>AA951</f>
        <v>Dinas Dikpora</v>
      </c>
      <c r="AB957" s="50">
        <v>355000</v>
      </c>
      <c r="AC957" s="50">
        <f>AB957+(AB957*10%)</f>
        <v>390500</v>
      </c>
      <c r="AD957" s="51" t="str">
        <f>AD951</f>
        <v>Dinas Dikpora</v>
      </c>
      <c r="AE957" s="52" t="s">
        <v>81</v>
      </c>
      <c r="AF957" s="36" t="s">
        <v>146</v>
      </c>
    </row>
    <row r="958" spans="2:32" ht="28.5" x14ac:dyDescent="0.3">
      <c r="B958" s="36"/>
      <c r="C958" s="36"/>
      <c r="E958" s="33"/>
      <c r="F958" s="33"/>
      <c r="G958" s="33"/>
      <c r="H958" s="33"/>
      <c r="I958" s="33"/>
      <c r="J958" s="36"/>
      <c r="K958" s="374" t="s">
        <v>293</v>
      </c>
      <c r="L958" s="375" t="s">
        <v>291</v>
      </c>
      <c r="M958" s="362" t="s">
        <v>1377</v>
      </c>
      <c r="N958" s="89" t="s">
        <v>1189</v>
      </c>
      <c r="O958" s="89" t="s">
        <v>1189</v>
      </c>
      <c r="P958" s="50"/>
      <c r="Q958" s="89" t="s">
        <v>1189</v>
      </c>
      <c r="R958" s="36"/>
      <c r="S958" s="89" t="s">
        <v>1189</v>
      </c>
      <c r="T958" s="36"/>
      <c r="U958" s="89" t="s">
        <v>1189</v>
      </c>
      <c r="V958" s="36"/>
      <c r="W958" s="89" t="s">
        <v>1189</v>
      </c>
      <c r="X958" s="36"/>
      <c r="Y958" s="89" t="s">
        <v>1189</v>
      </c>
      <c r="Z958" s="37"/>
      <c r="AA958" s="52"/>
      <c r="AB958" s="50">
        <v>0</v>
      </c>
      <c r="AC958" s="50"/>
      <c r="AD958" s="51"/>
      <c r="AE958" s="52"/>
      <c r="AF958" s="36"/>
    </row>
    <row r="959" spans="2:32" ht="99.75" x14ac:dyDescent="0.3">
      <c r="B959" s="36"/>
      <c r="C959" s="36"/>
      <c r="E959" s="33"/>
      <c r="F959" s="33"/>
      <c r="G959" s="33"/>
      <c r="H959" s="33"/>
      <c r="I959" s="33"/>
      <c r="J959" s="36"/>
      <c r="K959" s="37"/>
      <c r="L959" s="375" t="s">
        <v>291</v>
      </c>
      <c r="M959" s="362" t="s">
        <v>1378</v>
      </c>
      <c r="N959" s="89"/>
      <c r="O959" s="89"/>
      <c r="P959" s="50"/>
      <c r="Q959" s="89"/>
      <c r="R959" s="36"/>
      <c r="S959" s="89"/>
      <c r="T959" s="36"/>
      <c r="U959" s="89"/>
      <c r="V959" s="36"/>
      <c r="W959" s="89"/>
      <c r="X959" s="36"/>
      <c r="Y959" s="89"/>
      <c r="Z959" s="37"/>
      <c r="AA959" s="52"/>
      <c r="AB959" s="50"/>
      <c r="AC959" s="50"/>
      <c r="AD959" s="51"/>
      <c r="AE959" s="52"/>
      <c r="AF959" s="36" t="s">
        <v>253</v>
      </c>
    </row>
    <row r="960" spans="2:32" ht="28.5" x14ac:dyDescent="0.3">
      <c r="B960" s="36"/>
      <c r="C960" s="36"/>
      <c r="E960" s="33"/>
      <c r="F960" s="33"/>
      <c r="G960" s="33"/>
      <c r="H960" s="33"/>
      <c r="I960" s="33"/>
      <c r="J960" s="36"/>
      <c r="K960" s="37"/>
      <c r="L960" s="375" t="s">
        <v>291</v>
      </c>
      <c r="M960" s="362" t="s">
        <v>1379</v>
      </c>
      <c r="N960" s="36"/>
      <c r="O960" s="36"/>
      <c r="P960" s="50"/>
      <c r="Q960" s="36"/>
      <c r="R960" s="36"/>
      <c r="S960" s="36"/>
      <c r="T960" s="36"/>
      <c r="U960" s="36"/>
      <c r="V960" s="36"/>
      <c r="W960" s="36"/>
      <c r="X960" s="36"/>
      <c r="Y960" s="36"/>
      <c r="Z960" s="37"/>
      <c r="AA960" s="52"/>
      <c r="AB960" s="50">
        <v>105000</v>
      </c>
      <c r="AC960" s="50">
        <f>AB960+(AB960*10%)</f>
        <v>115500</v>
      </c>
      <c r="AD960" s="51" t="s">
        <v>66</v>
      </c>
      <c r="AE960" s="52" t="s">
        <v>81</v>
      </c>
      <c r="AF960" s="36"/>
    </row>
    <row r="961" spans="2:32" ht="28.5" x14ac:dyDescent="0.3">
      <c r="B961" s="36"/>
      <c r="C961" s="36"/>
      <c r="E961" s="33"/>
      <c r="F961" s="33"/>
      <c r="G961" s="33"/>
      <c r="H961" s="33"/>
      <c r="I961" s="33"/>
      <c r="J961" s="40"/>
      <c r="K961" s="43"/>
      <c r="L961" s="375" t="s">
        <v>291</v>
      </c>
      <c r="M961" s="361" t="s">
        <v>1380</v>
      </c>
      <c r="N961" s="36"/>
      <c r="O961" s="36"/>
      <c r="P961" s="50"/>
      <c r="Q961" s="36"/>
      <c r="R961" s="36"/>
      <c r="S961" s="36"/>
      <c r="T961" s="36"/>
      <c r="U961" s="36"/>
      <c r="V961" s="36"/>
      <c r="W961" s="36"/>
      <c r="X961" s="36"/>
      <c r="Y961" s="36"/>
      <c r="Z961" s="37"/>
      <c r="AA961" s="52"/>
      <c r="AB961" s="50">
        <v>15000</v>
      </c>
      <c r="AC961" s="50">
        <f>AB961+(AB961*25%)</f>
        <v>18750</v>
      </c>
      <c r="AD961" s="51" t="s">
        <v>66</v>
      </c>
      <c r="AE961" s="52" t="s">
        <v>81</v>
      </c>
      <c r="AF961" s="36"/>
    </row>
    <row r="962" spans="2:32" ht="28.5" x14ac:dyDescent="0.3">
      <c r="B962" s="36"/>
      <c r="C962" s="36"/>
      <c r="E962" s="33"/>
      <c r="F962" s="33"/>
      <c r="G962" s="33"/>
      <c r="H962" s="33"/>
      <c r="I962" s="33"/>
      <c r="J962" s="36"/>
      <c r="K962" s="37"/>
      <c r="L962" s="375" t="s">
        <v>291</v>
      </c>
      <c r="M962" s="362" t="s">
        <v>1381</v>
      </c>
      <c r="N962" s="36"/>
      <c r="O962" s="36"/>
      <c r="P962" s="50"/>
      <c r="Q962" s="36"/>
      <c r="R962" s="36"/>
      <c r="S962" s="36"/>
      <c r="T962" s="36"/>
      <c r="U962" s="36"/>
      <c r="V962" s="36"/>
      <c r="W962" s="36"/>
      <c r="X962" s="36"/>
      <c r="Y962" s="36"/>
      <c r="Z962" s="37"/>
      <c r="AA962" s="52"/>
      <c r="AB962" s="50"/>
      <c r="AC962" s="50"/>
      <c r="AD962" s="51"/>
      <c r="AE962" s="52"/>
      <c r="AF962" s="36"/>
    </row>
    <row r="963" spans="2:32" ht="28.5" x14ac:dyDescent="0.3">
      <c r="B963" s="36"/>
      <c r="C963" s="36"/>
      <c r="E963" s="33"/>
      <c r="F963" s="33"/>
      <c r="G963" s="33"/>
      <c r="H963" s="33"/>
      <c r="I963" s="33"/>
      <c r="J963" s="40"/>
      <c r="K963" s="43"/>
      <c r="L963" s="375" t="s">
        <v>291</v>
      </c>
      <c r="M963" s="361" t="s">
        <v>1382</v>
      </c>
      <c r="N963" s="36"/>
      <c r="O963" s="36"/>
      <c r="P963" s="50"/>
      <c r="Q963" s="36"/>
      <c r="R963" s="36"/>
      <c r="S963" s="36"/>
      <c r="T963" s="36"/>
      <c r="U963" s="36"/>
      <c r="V963" s="36"/>
      <c r="W963" s="36"/>
      <c r="X963" s="36"/>
      <c r="Y963" s="36"/>
      <c r="Z963" s="37"/>
      <c r="AA963" s="52"/>
      <c r="AB963" s="50">
        <v>19790</v>
      </c>
      <c r="AC963" s="50">
        <f>AB963+(AB963*10%)</f>
        <v>21769</v>
      </c>
      <c r="AD963" s="51" t="str">
        <f>AD957</f>
        <v>Dinas Dikpora</v>
      </c>
      <c r="AE963" s="52" t="s">
        <v>81</v>
      </c>
      <c r="AF963" s="36"/>
    </row>
    <row r="964" spans="2:32" ht="28.5" x14ac:dyDescent="0.3">
      <c r="B964" s="36"/>
      <c r="C964" s="36"/>
      <c r="E964" s="33"/>
      <c r="F964" s="33"/>
      <c r="G964" s="33"/>
      <c r="H964" s="33"/>
      <c r="I964" s="33"/>
      <c r="J964" s="40"/>
      <c r="K964" s="43"/>
      <c r="L964" s="375" t="s">
        <v>291</v>
      </c>
      <c r="M964" s="362" t="s">
        <v>1383</v>
      </c>
      <c r="N964" s="36"/>
      <c r="O964" s="36"/>
      <c r="P964" s="50"/>
      <c r="Q964" s="36"/>
      <c r="R964" s="36"/>
      <c r="S964" s="36"/>
      <c r="T964" s="36"/>
      <c r="U964" s="36"/>
      <c r="V964" s="36"/>
      <c r="W964" s="36"/>
      <c r="X964" s="36"/>
      <c r="Y964" s="36"/>
      <c r="Z964" s="37"/>
      <c r="AA964" s="52"/>
      <c r="AB964" s="50"/>
      <c r="AC964" s="50"/>
      <c r="AD964" s="51"/>
      <c r="AE964" s="52"/>
      <c r="AF964" s="36"/>
    </row>
    <row r="965" spans="2:32" ht="28.5" x14ac:dyDescent="0.3">
      <c r="B965" s="36"/>
      <c r="C965" s="36"/>
      <c r="E965" s="33"/>
      <c r="F965" s="33"/>
      <c r="G965" s="33"/>
      <c r="H965" s="33"/>
      <c r="I965" s="33"/>
      <c r="J965" s="40"/>
      <c r="K965" s="43"/>
      <c r="L965" s="375" t="s">
        <v>291</v>
      </c>
      <c r="M965" s="362" t="s">
        <v>1384</v>
      </c>
      <c r="N965" s="36" t="s">
        <v>1190</v>
      </c>
      <c r="O965" s="36" t="s">
        <v>1190</v>
      </c>
      <c r="P965" s="50"/>
      <c r="Q965" s="36" t="s">
        <v>1190</v>
      </c>
      <c r="R965" s="36"/>
      <c r="S965" s="36" t="s">
        <v>1190</v>
      </c>
      <c r="T965" s="36"/>
      <c r="U965" s="36" t="s">
        <v>1190</v>
      </c>
      <c r="V965" s="36"/>
      <c r="W965" s="36" t="s">
        <v>1190</v>
      </c>
      <c r="X965" s="36"/>
      <c r="Y965" s="36" t="s">
        <v>1190</v>
      </c>
      <c r="Z965" s="37"/>
      <c r="AA965" s="52"/>
      <c r="AB965" s="50">
        <v>14192</v>
      </c>
      <c r="AC965" s="50">
        <f>AB965+(AB965*10%)</f>
        <v>15611.2</v>
      </c>
      <c r="AD965" s="51" t="str">
        <f>AD963</f>
        <v>Dinas Dikpora</v>
      </c>
      <c r="AE965" s="52" t="s">
        <v>81</v>
      </c>
      <c r="AF965" s="36"/>
    </row>
    <row r="966" spans="2:32" ht="28.5" x14ac:dyDescent="0.3">
      <c r="B966" s="36"/>
      <c r="C966" s="36"/>
      <c r="E966" s="33"/>
      <c r="F966" s="33"/>
      <c r="G966" s="33"/>
      <c r="H966" s="33"/>
      <c r="I966" s="33"/>
      <c r="J966" s="40"/>
      <c r="K966" s="374" t="s">
        <v>294</v>
      </c>
      <c r="L966" s="375" t="s">
        <v>291</v>
      </c>
      <c r="M966" s="362" t="s">
        <v>1551</v>
      </c>
      <c r="N966" s="89" t="s">
        <v>1189</v>
      </c>
      <c r="O966" s="89" t="s">
        <v>1189</v>
      </c>
      <c r="P966" s="50"/>
      <c r="Q966" s="89" t="s">
        <v>1189</v>
      </c>
      <c r="R966" s="36"/>
      <c r="S966" s="89" t="s">
        <v>1189</v>
      </c>
      <c r="T966" s="36"/>
      <c r="U966" s="89" t="s">
        <v>1189</v>
      </c>
      <c r="V966" s="36"/>
      <c r="W966" s="89" t="s">
        <v>1189</v>
      </c>
      <c r="X966" s="36"/>
      <c r="Y966" s="89" t="s">
        <v>1189</v>
      </c>
      <c r="Z966" s="37"/>
      <c r="AA966" s="52"/>
      <c r="AB966" s="50"/>
      <c r="AC966" s="50"/>
      <c r="AD966" s="51"/>
      <c r="AE966" s="52"/>
      <c r="AF966" s="36"/>
    </row>
    <row r="967" spans="2:32" x14ac:dyDescent="0.3">
      <c r="B967" s="36"/>
      <c r="C967" s="36"/>
      <c r="E967" s="33"/>
      <c r="F967" s="33"/>
      <c r="G967" s="33"/>
      <c r="H967" s="33"/>
      <c r="I967" s="33"/>
      <c r="J967" s="40"/>
      <c r="K967" s="374" t="s">
        <v>295</v>
      </c>
      <c r="L967" s="375" t="s">
        <v>291</v>
      </c>
      <c r="M967" s="384" t="s">
        <v>861</v>
      </c>
      <c r="N967" s="36"/>
      <c r="O967" s="36"/>
      <c r="P967" s="50"/>
      <c r="Q967" s="36"/>
      <c r="R967" s="36"/>
      <c r="S967" s="36"/>
      <c r="T967" s="36"/>
      <c r="U967" s="36"/>
      <c r="V967" s="36"/>
      <c r="W967" s="36"/>
      <c r="X967" s="36"/>
      <c r="Y967" s="36"/>
      <c r="Z967" s="37"/>
      <c r="AA967" s="52"/>
      <c r="AB967" s="50"/>
      <c r="AC967" s="50"/>
      <c r="AD967" s="51"/>
      <c r="AE967" s="52"/>
      <c r="AF967" s="36"/>
    </row>
    <row r="968" spans="2:32" ht="28.5" x14ac:dyDescent="0.3">
      <c r="B968" s="92"/>
      <c r="C968" s="92"/>
      <c r="D968" s="445"/>
      <c r="E968" s="91"/>
      <c r="F968" s="91"/>
      <c r="G968" s="91"/>
      <c r="H968" s="91"/>
      <c r="I968" s="91"/>
      <c r="J968" s="422"/>
      <c r="K968" s="377" t="s">
        <v>297</v>
      </c>
      <c r="L968" s="378" t="s">
        <v>291</v>
      </c>
      <c r="M968" s="464" t="s">
        <v>1552</v>
      </c>
      <c r="N968" s="92"/>
      <c r="O968" s="92"/>
      <c r="P968" s="93"/>
      <c r="Q968" s="92"/>
      <c r="R968" s="92"/>
      <c r="S968" s="92"/>
      <c r="T968" s="92"/>
      <c r="U968" s="92"/>
      <c r="V968" s="92"/>
      <c r="W968" s="92"/>
      <c r="X968" s="92"/>
      <c r="Y968" s="92"/>
      <c r="Z968" s="101"/>
      <c r="AA968" s="95"/>
      <c r="AB968" s="93"/>
      <c r="AC968" s="93"/>
      <c r="AD968" s="94"/>
      <c r="AE968" s="95"/>
      <c r="AF968" s="92"/>
    </row>
    <row r="969" spans="2:32" x14ac:dyDescent="0.3">
      <c r="B969" s="36"/>
      <c r="C969" s="36"/>
      <c r="E969" s="33"/>
      <c r="F969" s="33"/>
      <c r="G969" s="33"/>
      <c r="H969" s="33"/>
      <c r="I969" s="33"/>
      <c r="J969" s="40"/>
      <c r="K969" s="43"/>
      <c r="L969" s="375"/>
      <c r="M969" s="362"/>
      <c r="N969" s="36"/>
      <c r="O969" s="36"/>
      <c r="P969" s="50"/>
      <c r="Q969" s="36"/>
      <c r="R969" s="36"/>
      <c r="S969" s="36"/>
      <c r="T969" s="36"/>
      <c r="U969" s="36"/>
      <c r="V969" s="36"/>
      <c r="W969" s="36"/>
      <c r="X969" s="36"/>
      <c r="Y969" s="36"/>
      <c r="Z969" s="37"/>
      <c r="AA969" s="52"/>
      <c r="AB969" s="50"/>
      <c r="AC969" s="50"/>
      <c r="AD969" s="51"/>
      <c r="AE969" s="52"/>
      <c r="AF969" s="36"/>
    </row>
    <row r="970" spans="2:32" x14ac:dyDescent="0.3">
      <c r="B970" s="36"/>
      <c r="C970" s="36"/>
      <c r="E970" s="26"/>
      <c r="F970" s="26"/>
      <c r="G970" s="26"/>
      <c r="H970" s="26"/>
      <c r="I970" s="26"/>
      <c r="J970" s="27" t="s">
        <v>254</v>
      </c>
      <c r="K970" s="35"/>
      <c r="L970" s="39"/>
      <c r="M970" s="362"/>
      <c r="N970" s="36"/>
      <c r="O970" s="36"/>
      <c r="P970" s="82"/>
      <c r="Q970" s="36"/>
      <c r="R970" s="36"/>
      <c r="S970" s="36"/>
      <c r="T970" s="36"/>
      <c r="U970" s="36"/>
      <c r="V970" s="36"/>
      <c r="W970" s="36"/>
      <c r="X970" s="36"/>
      <c r="Y970" s="36"/>
      <c r="Z970" s="37"/>
      <c r="AA970" s="75"/>
      <c r="AB970" s="50"/>
      <c r="AC970" s="50"/>
      <c r="AD970" s="51"/>
      <c r="AE970" s="52"/>
      <c r="AF970" s="27"/>
    </row>
    <row r="971" spans="2:32" s="87" customFormat="1" ht="27" x14ac:dyDescent="0.25">
      <c r="B971" s="504" t="s">
        <v>1563</v>
      </c>
      <c r="C971" s="504" t="s">
        <v>1564</v>
      </c>
      <c r="D971" s="434"/>
      <c r="E971" s="26">
        <v>1</v>
      </c>
      <c r="F971" s="26">
        <v>18</v>
      </c>
      <c r="G971" s="69" t="s">
        <v>131</v>
      </c>
      <c r="H971" s="26">
        <v>18</v>
      </c>
      <c r="I971" s="26"/>
      <c r="J971" s="27" t="s">
        <v>255</v>
      </c>
      <c r="K971" s="496" t="s">
        <v>1385</v>
      </c>
      <c r="L971" s="497"/>
      <c r="M971" s="498"/>
      <c r="N971" s="372" t="s">
        <v>1191</v>
      </c>
      <c r="O971" s="372" t="s">
        <v>1191</v>
      </c>
      <c r="P971" s="82">
        <f>SUM(P974:P975)</f>
        <v>6000000</v>
      </c>
      <c r="Q971" s="372" t="s">
        <v>1191</v>
      </c>
      <c r="R971" s="82">
        <f>SUM(R974:R975)</f>
        <v>6600000</v>
      </c>
      <c r="S971" s="372" t="s">
        <v>1191</v>
      </c>
      <c r="T971" s="82">
        <f>SUM(T974:T975)</f>
        <v>7260000</v>
      </c>
      <c r="U971" s="372" t="s">
        <v>1191</v>
      </c>
      <c r="V971" s="82">
        <f>SUM(V974:V975)</f>
        <v>7986000</v>
      </c>
      <c r="W971" s="372" t="s">
        <v>1191</v>
      </c>
      <c r="X971" s="82">
        <f>SUM(X974:X975)</f>
        <v>8784600</v>
      </c>
      <c r="Y971" s="372" t="s">
        <v>1191</v>
      </c>
      <c r="Z971" s="430">
        <f>X971+V971+T971+R971+P971</f>
        <v>36630600</v>
      </c>
      <c r="AA971" s="75"/>
      <c r="AB971" s="82">
        <v>6000</v>
      </c>
      <c r="AC971" s="82">
        <f>AB971+(AB971*50%)</f>
        <v>9000</v>
      </c>
      <c r="AD971" s="83" t="str">
        <f>AD965</f>
        <v>Dinas Dikpora</v>
      </c>
      <c r="AE971" s="75" t="s">
        <v>81</v>
      </c>
      <c r="AF971" s="27" t="s">
        <v>256</v>
      </c>
    </row>
    <row r="972" spans="2:32" x14ac:dyDescent="0.3">
      <c r="B972" s="504"/>
      <c r="C972" s="504"/>
      <c r="E972" s="26"/>
      <c r="F972" s="26"/>
      <c r="G972" s="26"/>
      <c r="H972" s="26"/>
      <c r="I972" s="26"/>
      <c r="J972" s="88"/>
      <c r="K972" s="407"/>
      <c r="L972" s="369"/>
      <c r="M972" s="362"/>
      <c r="N972" s="372"/>
      <c r="O972" s="372"/>
      <c r="P972" s="82"/>
      <c r="Q972" s="372"/>
      <c r="R972" s="36"/>
      <c r="S972" s="372"/>
      <c r="T972" s="36"/>
      <c r="U972" s="372"/>
      <c r="V972" s="36"/>
      <c r="W972" s="372"/>
      <c r="X972" s="36"/>
      <c r="Y972" s="372"/>
      <c r="Z972" s="37"/>
      <c r="AA972" s="75"/>
      <c r="AB972" s="50"/>
      <c r="AC972" s="50"/>
      <c r="AD972" s="51"/>
      <c r="AE972" s="52"/>
      <c r="AF972" s="27"/>
    </row>
    <row r="973" spans="2:32" s="32" customFormat="1" ht="15" x14ac:dyDescent="0.25">
      <c r="B973" s="504"/>
      <c r="C973" s="504"/>
      <c r="D973" s="434"/>
      <c r="E973" s="26"/>
      <c r="F973" s="26"/>
      <c r="G973" s="26"/>
      <c r="H973" s="26"/>
      <c r="I973" s="26"/>
      <c r="J973" s="27" t="s">
        <v>63</v>
      </c>
      <c r="K973" s="35"/>
      <c r="L973" s="39"/>
      <c r="M973" s="361"/>
      <c r="N973" s="27"/>
      <c r="O973" s="27"/>
      <c r="P973" s="82"/>
      <c r="Q973" s="27"/>
      <c r="R973" s="27"/>
      <c r="S973" s="27"/>
      <c r="T973" s="27"/>
      <c r="U973" s="27"/>
      <c r="V973" s="27"/>
      <c r="W973" s="27"/>
      <c r="X973" s="27"/>
      <c r="Y973" s="27"/>
      <c r="Z973" s="35"/>
      <c r="AA973" s="75"/>
      <c r="AB973" s="82"/>
      <c r="AC973" s="82"/>
      <c r="AD973" s="83"/>
      <c r="AE973" s="75"/>
      <c r="AF973" s="27"/>
    </row>
    <row r="974" spans="2:32" s="32" customFormat="1" ht="28.5" x14ac:dyDescent="0.25">
      <c r="B974" s="504"/>
      <c r="C974" s="504"/>
      <c r="D974" s="434"/>
      <c r="E974" s="33">
        <v>1</v>
      </c>
      <c r="F974" s="33">
        <v>18</v>
      </c>
      <c r="G974" s="70" t="s">
        <v>131</v>
      </c>
      <c r="H974" s="33">
        <v>18</v>
      </c>
      <c r="I974" s="34">
        <v>2</v>
      </c>
      <c r="J974" s="36" t="s">
        <v>257</v>
      </c>
      <c r="K974" s="374" t="s">
        <v>290</v>
      </c>
      <c r="L974" s="375" t="s">
        <v>291</v>
      </c>
      <c r="M974" s="375" t="s">
        <v>292</v>
      </c>
      <c r="N974" s="36" t="s">
        <v>301</v>
      </c>
      <c r="O974" s="36" t="s">
        <v>301</v>
      </c>
      <c r="P974" s="50">
        <v>6000000</v>
      </c>
      <c r="Q974" s="36" t="s">
        <v>301</v>
      </c>
      <c r="R974" s="431">
        <f>P974+(P974*10%)</f>
        <v>6600000</v>
      </c>
      <c r="S974" s="36" t="s">
        <v>301</v>
      </c>
      <c r="T974" s="431">
        <f>R974+(R974*10%)</f>
        <v>7260000</v>
      </c>
      <c r="U974" s="36" t="s">
        <v>301</v>
      </c>
      <c r="V974" s="431">
        <f>T974+(T974*10%)</f>
        <v>7986000</v>
      </c>
      <c r="W974" s="36" t="s">
        <v>301</v>
      </c>
      <c r="X974" s="431">
        <f>V974+(V974*10%)</f>
        <v>8784600</v>
      </c>
      <c r="Y974" s="36" t="s">
        <v>301</v>
      </c>
      <c r="Z974" s="431">
        <f>X974+V974+T974+R974+P974</f>
        <v>36630600</v>
      </c>
      <c r="AA974" s="52" t="str">
        <f>AA957</f>
        <v>Dinas Dikpora</v>
      </c>
      <c r="AB974" s="82" t="e">
        <f>SUM(#REF!)</f>
        <v>#REF!</v>
      </c>
      <c r="AC974" s="82" t="e">
        <f>SUM(#REF!)</f>
        <v>#REF!</v>
      </c>
      <c r="AD974" s="83"/>
      <c r="AE974" s="75"/>
      <c r="AF974" s="40" t="s">
        <v>258</v>
      </c>
    </row>
    <row r="975" spans="2:32" s="32" customFormat="1" ht="142.5" x14ac:dyDescent="0.25">
      <c r="B975" s="504"/>
      <c r="C975" s="462"/>
      <c r="D975" s="434"/>
      <c r="E975" s="33"/>
      <c r="F975" s="70"/>
      <c r="G975" s="70"/>
      <c r="H975" s="33"/>
      <c r="I975" s="26"/>
      <c r="J975" s="27"/>
      <c r="K975" s="374" t="s">
        <v>293</v>
      </c>
      <c r="L975" s="375" t="s">
        <v>291</v>
      </c>
      <c r="M975" s="362" t="s">
        <v>1386</v>
      </c>
      <c r="N975" s="89" t="s">
        <v>1192</v>
      </c>
      <c r="O975" s="89" t="s">
        <v>1192</v>
      </c>
      <c r="P975" s="27"/>
      <c r="Q975" s="89" t="s">
        <v>1192</v>
      </c>
      <c r="R975" s="27"/>
      <c r="S975" s="89" t="s">
        <v>1192</v>
      </c>
      <c r="T975" s="27"/>
      <c r="U975" s="89" t="s">
        <v>1192</v>
      </c>
      <c r="V975" s="27"/>
      <c r="W975" s="89" t="s">
        <v>1192</v>
      </c>
      <c r="X975" s="27"/>
      <c r="Y975" s="89" t="s">
        <v>1192</v>
      </c>
      <c r="Z975" s="35"/>
      <c r="AA975" s="27"/>
      <c r="AB975" s="82"/>
      <c r="AC975" s="82"/>
      <c r="AD975" s="83"/>
      <c r="AE975" s="75"/>
      <c r="AF975" s="436"/>
    </row>
    <row r="976" spans="2:32" s="32" customFormat="1" ht="42.75" x14ac:dyDescent="0.25">
      <c r="B976" s="504"/>
      <c r="C976" s="462"/>
      <c r="D976" s="434"/>
      <c r="E976" s="33"/>
      <c r="F976" s="70"/>
      <c r="G976" s="70"/>
      <c r="H976" s="33"/>
      <c r="I976" s="26"/>
      <c r="J976" s="27"/>
      <c r="K976" s="374" t="s">
        <v>294</v>
      </c>
      <c r="L976" s="375" t="s">
        <v>291</v>
      </c>
      <c r="M976" s="362" t="s">
        <v>1553</v>
      </c>
      <c r="N976" s="89">
        <v>1</v>
      </c>
      <c r="O976" s="89">
        <v>1</v>
      </c>
      <c r="P976" s="27"/>
      <c r="Q976" s="89">
        <v>1</v>
      </c>
      <c r="R976" s="27"/>
      <c r="S976" s="89">
        <v>1</v>
      </c>
      <c r="T976" s="27"/>
      <c r="U976" s="89">
        <v>1</v>
      </c>
      <c r="V976" s="27"/>
      <c r="W976" s="89">
        <v>1</v>
      </c>
      <c r="X976" s="27"/>
      <c r="Y976" s="89">
        <v>1</v>
      </c>
      <c r="Z976" s="35"/>
      <c r="AA976" s="27"/>
      <c r="AB976" s="82"/>
      <c r="AC976" s="82"/>
      <c r="AD976" s="83"/>
      <c r="AE976" s="75"/>
      <c r="AF976" s="436"/>
    </row>
    <row r="977" spans="2:32" s="32" customFormat="1" ht="28.5" x14ac:dyDescent="0.3">
      <c r="B977" s="504"/>
      <c r="C977" s="462"/>
      <c r="D977" s="434"/>
      <c r="E977" s="33"/>
      <c r="F977" s="70"/>
      <c r="G977" s="70"/>
      <c r="H977" s="33"/>
      <c r="I977" s="26"/>
      <c r="J977" s="27"/>
      <c r="K977" s="374" t="s">
        <v>295</v>
      </c>
      <c r="L977" s="375" t="s">
        <v>291</v>
      </c>
      <c r="M977" s="400" t="s">
        <v>959</v>
      </c>
      <c r="N977" s="89"/>
      <c r="O977" s="89"/>
      <c r="P977" s="27"/>
      <c r="Q977" s="89"/>
      <c r="R977" s="27"/>
      <c r="S977" s="89"/>
      <c r="T977" s="27"/>
      <c r="U977" s="89"/>
      <c r="V977" s="27"/>
      <c r="W977" s="89"/>
      <c r="X977" s="27"/>
      <c r="Y977" s="89"/>
      <c r="Z977" s="35"/>
      <c r="AA977" s="27"/>
      <c r="AB977" s="82"/>
      <c r="AC977" s="82"/>
      <c r="AD977" s="83"/>
      <c r="AE977" s="75"/>
      <c r="AF977" s="436"/>
    </row>
    <row r="978" spans="2:32" s="32" customFormat="1" ht="28.5" x14ac:dyDescent="0.3">
      <c r="B978" s="505"/>
      <c r="C978" s="463"/>
      <c r="D978" s="434"/>
      <c r="E978" s="33"/>
      <c r="F978" s="70"/>
      <c r="G978" s="70"/>
      <c r="H978" s="33"/>
      <c r="I978" s="26"/>
      <c r="J978" s="27"/>
      <c r="K978" s="377" t="s">
        <v>297</v>
      </c>
      <c r="L978" s="378" t="s">
        <v>291</v>
      </c>
      <c r="M978" s="400" t="s">
        <v>960</v>
      </c>
      <c r="N978" s="89"/>
      <c r="O978" s="89"/>
      <c r="P978" s="27"/>
      <c r="Q978" s="89"/>
      <c r="R978" s="27"/>
      <c r="S978" s="89"/>
      <c r="T978" s="27"/>
      <c r="U978" s="89"/>
      <c r="V978" s="27"/>
      <c r="W978" s="89"/>
      <c r="X978" s="27"/>
      <c r="Y978" s="89"/>
      <c r="Z978" s="35"/>
      <c r="AA978" s="27"/>
      <c r="AB978" s="82"/>
      <c r="AC978" s="82"/>
      <c r="AD978" s="83"/>
      <c r="AE978" s="75"/>
      <c r="AF978" s="436"/>
    </row>
    <row r="979" spans="2:32" s="58" customFormat="1" ht="15" x14ac:dyDescent="0.25">
      <c r="B979" s="98"/>
      <c r="C979" s="108"/>
      <c r="D979" s="465"/>
      <c r="E979" s="98" t="s">
        <v>259</v>
      </c>
      <c r="F979" s="99"/>
      <c r="G979" s="99"/>
      <c r="H979" s="99"/>
      <c r="I979" s="99"/>
      <c r="J979" s="99"/>
      <c r="K979" s="99"/>
      <c r="L979" s="99"/>
      <c r="M979" s="99"/>
      <c r="N979" s="99"/>
      <c r="O979" s="99"/>
      <c r="P979" s="432">
        <f>P971+P926+P916+P869+P814+P754+P729+P698+P667+P591+P479+P364+P287+P253+P224+P198+P173+P165+P115+P14</f>
        <v>86710853763</v>
      </c>
      <c r="Q979" s="432"/>
      <c r="R979" s="432">
        <f t="shared" ref="R979:Z979" si="42">R971+R926+R916+R869+R814+R754+R729+R698+R667+R591+R479+R364+R287+R253+R224+R198+R173+R165+R115+R14</f>
        <v>94105078439.300003</v>
      </c>
      <c r="S979" s="432"/>
      <c r="T979" s="432">
        <f t="shared" si="42"/>
        <v>103515586283.23</v>
      </c>
      <c r="U979" s="432"/>
      <c r="V979" s="432">
        <f t="shared" si="42"/>
        <v>113867144911.55301</v>
      </c>
      <c r="W979" s="432"/>
      <c r="X979" s="432">
        <f t="shared" si="42"/>
        <v>125253859402.70828</v>
      </c>
      <c r="Y979" s="432"/>
      <c r="Z979" s="432">
        <f t="shared" si="42"/>
        <v>523452522799.79138</v>
      </c>
      <c r="AA979" s="108"/>
      <c r="AB979" s="449" t="e">
        <f>#REF!+#REF!+#REF!+#REF!+AB974+AB930+AB878+AB826+AB775+#REF!+#REF!+AB368+#REF!+AB257+AB226+AB200+AB175+AB167+AB117+AB14</f>
        <v>#REF!</v>
      </c>
      <c r="AC979" s="449" t="e">
        <f>#REF!+#REF!+#REF!+#REF!+AC974+AC930+AC878+AC826+AC775+#REF!+#REF!+AC368+#REF!+AC257+AC226+AC200+AC175+AC167+AC117+AC14</f>
        <v>#REF!</v>
      </c>
      <c r="AD979" s="450"/>
      <c r="AE979" s="96"/>
      <c r="AF979" s="438"/>
    </row>
    <row r="980" spans="2:32" s="73" customFormat="1" x14ac:dyDescent="0.3">
      <c r="B980" s="14"/>
      <c r="C980" s="14"/>
      <c r="D980" s="14"/>
      <c r="E980" s="13"/>
      <c r="F980" s="13"/>
      <c r="G980" s="13"/>
      <c r="H980" s="13"/>
      <c r="I980" s="13"/>
      <c r="J980" s="14"/>
      <c r="K980" s="14"/>
      <c r="L980" s="14"/>
      <c r="M980" s="14"/>
      <c r="N980" s="14"/>
      <c r="O980" s="13"/>
      <c r="P980" s="13"/>
      <c r="Q980" s="13"/>
      <c r="R980" s="13"/>
      <c r="S980" s="13"/>
      <c r="T980" s="13"/>
      <c r="U980" s="13"/>
      <c r="V980" s="13"/>
      <c r="W980" s="13"/>
      <c r="X980" s="13"/>
      <c r="Y980" s="13"/>
      <c r="Z980" s="13"/>
      <c r="AA980" s="13"/>
      <c r="AB980" s="15"/>
      <c r="AC980" s="16"/>
      <c r="AD980" s="17"/>
      <c r="AE980" s="18"/>
      <c r="AF980" s="14"/>
    </row>
    <row r="981" spans="2:32" s="97" customFormat="1" x14ac:dyDescent="0.3">
      <c r="B981" s="14"/>
      <c r="C981" s="14"/>
      <c r="D981" s="451"/>
      <c r="E981" s="13"/>
      <c r="F981" s="13"/>
      <c r="G981" s="13"/>
      <c r="H981" s="13"/>
      <c r="I981" s="13"/>
      <c r="J981" s="14"/>
      <c r="K981" s="14"/>
      <c r="L981" s="14"/>
      <c r="M981" s="14"/>
      <c r="N981" s="14"/>
      <c r="O981" s="13"/>
      <c r="P981" s="13"/>
      <c r="Q981" s="13"/>
      <c r="R981" s="13"/>
      <c r="S981" s="13"/>
      <c r="T981" s="13"/>
      <c r="U981" s="13"/>
      <c r="V981" s="13"/>
      <c r="W981" s="13"/>
      <c r="X981" s="13"/>
      <c r="Y981" s="13"/>
      <c r="Z981" s="13"/>
      <c r="AA981" s="13"/>
      <c r="AB981" s="15"/>
      <c r="AC981" s="16"/>
      <c r="AD981" s="17"/>
      <c r="AE981" s="18"/>
      <c r="AF981" s="451"/>
    </row>
    <row r="982" spans="2:32" s="97" customFormat="1" x14ac:dyDescent="0.3">
      <c r="B982" s="14"/>
      <c r="C982" s="14"/>
      <c r="D982" s="451"/>
      <c r="E982" s="13"/>
      <c r="F982" s="13"/>
      <c r="G982" s="13"/>
      <c r="H982" s="13"/>
      <c r="I982" s="13"/>
      <c r="J982" s="14"/>
      <c r="K982" s="14"/>
      <c r="L982" s="14"/>
      <c r="M982" s="14"/>
      <c r="N982" s="14"/>
      <c r="O982" s="13"/>
      <c r="P982" s="13"/>
      <c r="Q982" s="13"/>
      <c r="R982" s="13"/>
      <c r="S982" s="13"/>
      <c r="T982" s="13"/>
      <c r="U982" s="13"/>
      <c r="V982" s="13"/>
      <c r="W982" s="13"/>
      <c r="X982" s="13"/>
      <c r="Y982" s="13"/>
      <c r="Z982" s="13"/>
      <c r="AA982" s="13"/>
      <c r="AB982" s="15"/>
      <c r="AC982" s="16"/>
      <c r="AD982" s="17"/>
      <c r="AE982" s="18"/>
      <c r="AF982" s="451"/>
    </row>
    <row r="983" spans="2:32" s="97" customFormat="1" x14ac:dyDescent="0.3">
      <c r="B983" s="14"/>
      <c r="C983" s="14"/>
      <c r="D983" s="451"/>
      <c r="E983" s="13"/>
      <c r="F983" s="13"/>
      <c r="G983" s="13"/>
      <c r="H983" s="13"/>
      <c r="I983" s="13"/>
      <c r="J983" s="14"/>
      <c r="K983" s="14"/>
      <c r="L983" s="14"/>
      <c r="M983" s="14"/>
      <c r="N983" s="14"/>
      <c r="O983" s="13"/>
      <c r="P983" s="13"/>
      <c r="Q983" s="13"/>
      <c r="R983" s="13"/>
      <c r="S983" s="13"/>
      <c r="T983" s="13"/>
      <c r="U983" s="13"/>
      <c r="V983" s="13"/>
      <c r="W983" s="13"/>
      <c r="X983" s="13"/>
      <c r="Y983" s="13"/>
      <c r="Z983" s="13"/>
      <c r="AA983" s="13"/>
      <c r="AB983" s="15"/>
      <c r="AC983" s="16"/>
      <c r="AD983" s="17"/>
      <c r="AE983" s="18"/>
      <c r="AF983" s="451"/>
    </row>
    <row r="984" spans="2:32" s="97" customFormat="1" x14ac:dyDescent="0.3">
      <c r="B984" s="14"/>
      <c r="C984" s="14"/>
      <c r="D984" s="451"/>
      <c r="E984" s="13"/>
      <c r="F984" s="13"/>
      <c r="G984" s="13"/>
      <c r="H984" s="13"/>
      <c r="I984" s="13"/>
      <c r="J984" s="14"/>
      <c r="K984" s="14"/>
      <c r="L984" s="14"/>
      <c r="M984" s="14"/>
      <c r="N984" s="14"/>
      <c r="O984" s="13"/>
      <c r="P984" s="13"/>
      <c r="Q984" s="13"/>
      <c r="R984" s="13"/>
      <c r="S984" s="13"/>
      <c r="T984" s="13"/>
      <c r="U984" s="13"/>
      <c r="V984" s="13"/>
      <c r="W984" s="13"/>
      <c r="X984" s="13"/>
      <c r="Y984" s="13"/>
      <c r="Z984" s="13"/>
      <c r="AA984" s="13"/>
      <c r="AB984" s="15"/>
      <c r="AC984" s="16"/>
      <c r="AD984" s="17"/>
      <c r="AE984" s="18"/>
      <c r="AF984" s="451"/>
    </row>
    <row r="985" spans="2:32" s="97" customFormat="1" x14ac:dyDescent="0.3">
      <c r="B985" s="14"/>
      <c r="C985" s="14"/>
      <c r="D985" s="451"/>
      <c r="E985" s="13"/>
      <c r="F985" s="13"/>
      <c r="G985" s="13"/>
      <c r="H985" s="13"/>
      <c r="I985" s="13"/>
      <c r="J985" s="14"/>
      <c r="K985" s="14"/>
      <c r="L985" s="14"/>
      <c r="M985" s="14"/>
      <c r="N985" s="14"/>
      <c r="O985" s="13"/>
      <c r="P985" s="13"/>
      <c r="Q985" s="13"/>
      <c r="R985" s="13"/>
      <c r="S985" s="13"/>
      <c r="T985" s="13"/>
      <c r="U985" s="13"/>
      <c r="V985" s="13"/>
      <c r="W985" s="13"/>
      <c r="X985" s="13"/>
      <c r="Y985" s="13"/>
      <c r="Z985" s="13"/>
      <c r="AA985" s="13"/>
      <c r="AB985" s="15"/>
      <c r="AC985" s="16"/>
      <c r="AD985" s="17"/>
      <c r="AE985" s="18"/>
      <c r="AF985" s="451"/>
    </row>
    <row r="986" spans="2:32" s="73" customFormat="1" x14ac:dyDescent="0.3">
      <c r="B986" s="14"/>
      <c r="C986" s="14"/>
      <c r="D986" s="14"/>
      <c r="E986" s="13"/>
      <c r="F986" s="13"/>
      <c r="G986" s="13"/>
      <c r="H986" s="13"/>
      <c r="I986" s="13"/>
      <c r="J986" s="14"/>
      <c r="K986" s="14"/>
      <c r="L986" s="14"/>
      <c r="M986" s="14"/>
      <c r="N986" s="14"/>
      <c r="O986" s="13"/>
      <c r="P986" s="13"/>
      <c r="Q986" s="13"/>
      <c r="R986" s="13"/>
      <c r="S986" s="13"/>
      <c r="T986" s="13"/>
      <c r="U986" s="13"/>
      <c r="V986" s="13"/>
      <c r="W986" s="13"/>
      <c r="X986" s="13"/>
      <c r="Y986" s="13"/>
      <c r="Z986" s="13"/>
      <c r="AA986" s="13"/>
      <c r="AB986" s="15"/>
      <c r="AC986" s="16"/>
      <c r="AD986" s="17"/>
      <c r="AE986" s="18"/>
      <c r="AF986" s="14"/>
    </row>
    <row r="987" spans="2:32" s="73" customFormat="1" x14ac:dyDescent="0.3">
      <c r="B987" s="14"/>
      <c r="C987" s="14"/>
      <c r="D987" s="14"/>
      <c r="E987" s="13"/>
      <c r="F987" s="13"/>
      <c r="G987" s="13"/>
      <c r="H987" s="13"/>
      <c r="I987" s="13"/>
      <c r="J987" s="14"/>
      <c r="K987" s="14"/>
      <c r="L987" s="14"/>
      <c r="M987" s="14"/>
      <c r="N987" s="14"/>
      <c r="O987" s="13"/>
      <c r="P987" s="13"/>
      <c r="Q987" s="13"/>
      <c r="R987" s="13"/>
      <c r="S987" s="13"/>
      <c r="T987" s="13"/>
      <c r="U987" s="13"/>
      <c r="V987" s="13"/>
      <c r="W987" s="13"/>
      <c r="X987" s="13"/>
      <c r="Y987" s="13"/>
      <c r="Z987" s="13"/>
      <c r="AA987" s="13"/>
      <c r="AB987" s="15"/>
      <c r="AC987" s="16"/>
      <c r="AD987" s="17"/>
      <c r="AE987" s="18"/>
      <c r="AF987" s="14"/>
    </row>
    <row r="988" spans="2:32" s="97" customFormat="1" x14ac:dyDescent="0.3">
      <c r="B988" s="14"/>
      <c r="C988" s="14"/>
      <c r="D988" s="451"/>
      <c r="E988" s="13"/>
      <c r="F988" s="13"/>
      <c r="G988" s="13"/>
      <c r="H988" s="13"/>
      <c r="I988" s="13"/>
      <c r="J988" s="14"/>
      <c r="K988" s="14"/>
      <c r="L988" s="14"/>
      <c r="M988" s="14"/>
      <c r="N988" s="14"/>
      <c r="O988" s="13"/>
      <c r="P988" s="13"/>
      <c r="Q988" s="13"/>
      <c r="R988" s="13"/>
      <c r="S988" s="13"/>
      <c r="T988" s="13"/>
      <c r="U988" s="13"/>
      <c r="V988" s="13"/>
      <c r="W988" s="13"/>
      <c r="X988" s="13"/>
      <c r="Y988" s="13"/>
      <c r="Z988" s="13"/>
      <c r="AA988" s="13"/>
      <c r="AB988" s="15"/>
      <c r="AC988" s="16"/>
      <c r="AD988" s="17"/>
      <c r="AE988" s="18"/>
      <c r="AF988" s="451"/>
    </row>
    <row r="989" spans="2:32" s="97" customFormat="1" x14ac:dyDescent="0.3">
      <c r="B989" s="14"/>
      <c r="C989" s="14"/>
      <c r="D989" s="451"/>
      <c r="E989" s="13"/>
      <c r="F989" s="13"/>
      <c r="G989" s="13"/>
      <c r="H989" s="13"/>
      <c r="I989" s="13"/>
      <c r="J989" s="14"/>
      <c r="K989" s="14"/>
      <c r="L989" s="14"/>
      <c r="M989" s="14"/>
      <c r="N989" s="14"/>
      <c r="O989" s="13"/>
      <c r="P989" s="13"/>
      <c r="Q989" s="13"/>
      <c r="R989" s="13"/>
      <c r="S989" s="13"/>
      <c r="T989" s="13"/>
      <c r="U989" s="13"/>
      <c r="V989" s="13"/>
      <c r="W989" s="13"/>
      <c r="X989" s="13"/>
      <c r="Y989" s="13"/>
      <c r="Z989" s="13"/>
      <c r="AA989" s="13"/>
      <c r="AB989" s="15"/>
      <c r="AC989" s="16"/>
      <c r="AD989" s="17"/>
      <c r="AE989" s="18"/>
      <c r="AF989" s="451"/>
    </row>
    <row r="990" spans="2:32" s="73" customFormat="1" x14ac:dyDescent="0.3">
      <c r="B990" s="14"/>
      <c r="C990" s="14"/>
      <c r="D990" s="14"/>
      <c r="E990" s="13"/>
      <c r="F990" s="13"/>
      <c r="G990" s="13"/>
      <c r="H990" s="13"/>
      <c r="I990" s="13"/>
      <c r="J990" s="14"/>
      <c r="K990" s="14"/>
      <c r="L990" s="14"/>
      <c r="M990" s="14"/>
      <c r="N990" s="14"/>
      <c r="O990" s="13"/>
      <c r="P990" s="13"/>
      <c r="Q990" s="13"/>
      <c r="R990" s="13"/>
      <c r="S990" s="13"/>
      <c r="T990" s="13"/>
      <c r="U990" s="13"/>
      <c r="V990" s="13"/>
      <c r="W990" s="13"/>
      <c r="X990" s="13"/>
      <c r="Y990" s="13"/>
      <c r="Z990" s="13"/>
      <c r="AA990" s="13"/>
      <c r="AB990" s="15"/>
      <c r="AC990" s="16"/>
      <c r="AD990" s="17"/>
      <c r="AE990" s="18"/>
      <c r="AF990" s="14"/>
    </row>
    <row r="991" spans="2:32" s="73" customFormat="1" x14ac:dyDescent="0.3">
      <c r="B991" s="14"/>
      <c r="C991" s="14"/>
      <c r="D991" s="14"/>
      <c r="E991" s="13"/>
      <c r="F991" s="13"/>
      <c r="G991" s="13"/>
      <c r="H991" s="13"/>
      <c r="I991" s="13"/>
      <c r="J991" s="14"/>
      <c r="K991" s="14"/>
      <c r="L991" s="14"/>
      <c r="M991" s="14"/>
      <c r="N991" s="14"/>
      <c r="O991" s="13"/>
      <c r="P991" s="13"/>
      <c r="Q991" s="13"/>
      <c r="R991" s="13"/>
      <c r="S991" s="13"/>
      <c r="T991" s="13"/>
      <c r="U991" s="13"/>
      <c r="V991" s="13"/>
      <c r="W991" s="13"/>
      <c r="X991" s="13"/>
      <c r="Y991" s="13"/>
      <c r="Z991" s="13"/>
      <c r="AA991" s="13"/>
      <c r="AB991" s="15"/>
      <c r="AC991" s="16"/>
      <c r="AD991" s="17"/>
      <c r="AE991" s="18"/>
      <c r="AF991" s="14"/>
    </row>
    <row r="992" spans="2:32" s="73" customFormat="1" x14ac:dyDescent="0.3">
      <c r="B992" s="14"/>
      <c r="C992" s="14"/>
      <c r="D992" s="14"/>
      <c r="E992" s="13"/>
      <c r="F992" s="13"/>
      <c r="G992" s="13"/>
      <c r="H992" s="13"/>
      <c r="I992" s="13"/>
      <c r="J992" s="14"/>
      <c r="K992" s="14"/>
      <c r="L992" s="14"/>
      <c r="M992" s="14"/>
      <c r="N992" s="14"/>
      <c r="O992" s="13"/>
      <c r="P992" s="13"/>
      <c r="Q992" s="13"/>
      <c r="R992" s="13"/>
      <c r="S992" s="13"/>
      <c r="T992" s="13"/>
      <c r="U992" s="13"/>
      <c r="V992" s="13"/>
      <c r="W992" s="13"/>
      <c r="X992" s="13"/>
      <c r="Y992" s="13"/>
      <c r="Z992" s="13"/>
      <c r="AA992" s="13"/>
      <c r="AB992" s="15"/>
      <c r="AC992" s="16"/>
      <c r="AD992" s="17"/>
      <c r="AE992" s="18"/>
      <c r="AF992" s="14"/>
    </row>
    <row r="993" spans="2:32" s="73" customFormat="1" x14ac:dyDescent="0.3">
      <c r="B993" s="14"/>
      <c r="C993" s="14"/>
      <c r="D993" s="14"/>
      <c r="E993" s="13"/>
      <c r="F993" s="13"/>
      <c r="G993" s="13"/>
      <c r="H993" s="13"/>
      <c r="I993" s="13"/>
      <c r="J993" s="14"/>
      <c r="K993" s="14"/>
      <c r="L993" s="14"/>
      <c r="M993" s="14"/>
      <c r="N993" s="14"/>
      <c r="O993" s="13"/>
      <c r="P993" s="13"/>
      <c r="Q993" s="13"/>
      <c r="R993" s="13"/>
      <c r="S993" s="13"/>
      <c r="T993" s="13"/>
      <c r="U993" s="13"/>
      <c r="V993" s="13"/>
      <c r="W993" s="13"/>
      <c r="X993" s="13"/>
      <c r="Y993" s="13"/>
      <c r="Z993" s="13"/>
      <c r="AA993" s="13"/>
      <c r="AB993" s="15"/>
      <c r="AC993" s="16"/>
      <c r="AD993" s="17"/>
      <c r="AE993" s="18"/>
      <c r="AF993" s="14"/>
    </row>
    <row r="994" spans="2:32" s="73" customFormat="1" x14ac:dyDescent="0.3">
      <c r="B994" s="14"/>
      <c r="C994" s="14"/>
      <c r="D994" s="14"/>
      <c r="E994" s="13"/>
      <c r="F994" s="13"/>
      <c r="G994" s="13"/>
      <c r="H994" s="13"/>
      <c r="I994" s="13"/>
      <c r="J994" s="14"/>
      <c r="K994" s="14"/>
      <c r="L994" s="14"/>
      <c r="M994" s="14"/>
      <c r="N994" s="14"/>
      <c r="O994" s="13"/>
      <c r="P994" s="13"/>
      <c r="Q994" s="13"/>
      <c r="R994" s="13"/>
      <c r="S994" s="13"/>
      <c r="T994" s="13"/>
      <c r="U994" s="13"/>
      <c r="V994" s="13"/>
      <c r="W994" s="13"/>
      <c r="X994" s="13"/>
      <c r="Y994" s="13"/>
      <c r="Z994" s="13"/>
      <c r="AA994" s="13"/>
      <c r="AB994" s="15"/>
      <c r="AC994" s="16"/>
      <c r="AD994" s="17"/>
      <c r="AE994" s="18"/>
      <c r="AF994" s="14"/>
    </row>
    <row r="995" spans="2:32" s="73" customFormat="1" x14ac:dyDescent="0.3">
      <c r="B995" s="14"/>
      <c r="C995" s="14"/>
      <c r="D995" s="14"/>
      <c r="E995" s="13"/>
      <c r="F995" s="13"/>
      <c r="G995" s="13"/>
      <c r="H995" s="13"/>
      <c r="I995" s="13"/>
      <c r="J995" s="14"/>
      <c r="K995" s="14"/>
      <c r="L995" s="14"/>
      <c r="M995" s="14"/>
      <c r="N995" s="14"/>
      <c r="O995" s="13"/>
      <c r="P995" s="13"/>
      <c r="Q995" s="13"/>
      <c r="R995" s="13"/>
      <c r="S995" s="13"/>
      <c r="T995" s="13"/>
      <c r="U995" s="13"/>
      <c r="V995" s="13"/>
      <c r="W995" s="13"/>
      <c r="X995" s="13"/>
      <c r="Y995" s="13"/>
      <c r="Z995" s="13"/>
      <c r="AA995" s="13"/>
      <c r="AB995" s="15"/>
      <c r="AC995" s="16"/>
      <c r="AD995" s="17"/>
      <c r="AE995" s="18"/>
      <c r="AF995" s="14"/>
    </row>
    <row r="996" spans="2:32" s="73" customFormat="1" x14ac:dyDescent="0.3">
      <c r="B996" s="14"/>
      <c r="C996" s="14"/>
      <c r="D996" s="14"/>
      <c r="E996" s="13"/>
      <c r="F996" s="13"/>
      <c r="G996" s="13"/>
      <c r="H996" s="13"/>
      <c r="I996" s="13"/>
      <c r="J996" s="14"/>
      <c r="K996" s="14"/>
      <c r="L996" s="14"/>
      <c r="M996" s="14"/>
      <c r="N996" s="14"/>
      <c r="O996" s="13"/>
      <c r="P996" s="13"/>
      <c r="Q996" s="13"/>
      <c r="R996" s="13"/>
      <c r="S996" s="13"/>
      <c r="T996" s="13"/>
      <c r="U996" s="13"/>
      <c r="V996" s="13"/>
      <c r="W996" s="13"/>
      <c r="X996" s="13"/>
      <c r="Y996" s="13"/>
      <c r="Z996" s="13"/>
      <c r="AA996" s="13"/>
      <c r="AB996" s="15"/>
      <c r="AC996" s="16"/>
      <c r="AD996" s="17"/>
      <c r="AE996" s="18"/>
      <c r="AF996" s="14"/>
    </row>
    <row r="997" spans="2:32" s="73" customFormat="1" x14ac:dyDescent="0.3">
      <c r="B997" s="14"/>
      <c r="C997" s="14"/>
      <c r="D997" s="14"/>
      <c r="E997" s="13"/>
      <c r="F997" s="13"/>
      <c r="G997" s="13"/>
      <c r="H997" s="13"/>
      <c r="I997" s="13"/>
      <c r="J997" s="14"/>
      <c r="K997" s="14"/>
      <c r="L997" s="14"/>
      <c r="M997" s="14"/>
      <c r="N997" s="14"/>
      <c r="O997" s="13"/>
      <c r="P997" s="13"/>
      <c r="Q997" s="13"/>
      <c r="R997" s="13"/>
      <c r="S997" s="13"/>
      <c r="T997" s="13"/>
      <c r="U997" s="13"/>
      <c r="V997" s="13"/>
      <c r="W997" s="13"/>
      <c r="X997" s="13"/>
      <c r="Y997" s="13"/>
      <c r="Z997" s="13"/>
      <c r="AA997" s="13"/>
      <c r="AB997" s="15"/>
      <c r="AC997" s="16"/>
      <c r="AD997" s="17"/>
      <c r="AE997" s="18"/>
      <c r="AF997" s="14"/>
    </row>
    <row r="998" spans="2:32" s="73" customFormat="1" x14ac:dyDescent="0.3">
      <c r="B998" s="14"/>
      <c r="C998" s="14"/>
      <c r="D998" s="14"/>
      <c r="E998" s="13"/>
      <c r="F998" s="13"/>
      <c r="G998" s="13"/>
      <c r="H998" s="13"/>
      <c r="I998" s="13"/>
      <c r="J998" s="14"/>
      <c r="K998" s="14"/>
      <c r="L998" s="14"/>
      <c r="M998" s="14"/>
      <c r="N998" s="14"/>
      <c r="O998" s="13"/>
      <c r="P998" s="13"/>
      <c r="Q998" s="13"/>
      <c r="R998" s="13"/>
      <c r="S998" s="13"/>
      <c r="T998" s="13"/>
      <c r="U998" s="13"/>
      <c r="V998" s="13"/>
      <c r="W998" s="13"/>
      <c r="X998" s="13"/>
      <c r="Y998" s="13"/>
      <c r="Z998" s="13"/>
      <c r="AA998" s="13"/>
      <c r="AB998" s="15"/>
      <c r="AC998" s="16"/>
      <c r="AD998" s="17"/>
      <c r="AE998" s="18"/>
      <c r="AF998" s="14"/>
    </row>
    <row r="999" spans="2:32" s="73" customFormat="1" x14ac:dyDescent="0.3">
      <c r="B999" s="14"/>
      <c r="C999" s="14"/>
      <c r="D999" s="14"/>
      <c r="E999" s="13"/>
      <c r="F999" s="13"/>
      <c r="G999" s="13"/>
      <c r="H999" s="13"/>
      <c r="I999" s="13"/>
      <c r="J999" s="14"/>
      <c r="K999" s="14"/>
      <c r="L999" s="14"/>
      <c r="M999" s="14"/>
      <c r="N999" s="14"/>
      <c r="O999" s="13"/>
      <c r="P999" s="13"/>
      <c r="Q999" s="13"/>
      <c r="R999" s="13"/>
      <c r="S999" s="13"/>
      <c r="T999" s="13"/>
      <c r="U999" s="13"/>
      <c r="V999" s="13"/>
      <c r="W999" s="13"/>
      <c r="X999" s="13"/>
      <c r="Y999" s="13"/>
      <c r="Z999" s="13"/>
      <c r="AA999" s="13"/>
      <c r="AB999" s="15"/>
      <c r="AC999" s="16"/>
      <c r="AD999" s="17"/>
      <c r="AE999" s="18"/>
      <c r="AF999" s="14"/>
    </row>
    <row r="1000" spans="2:32" s="73" customFormat="1" x14ac:dyDescent="0.3">
      <c r="B1000" s="14"/>
      <c r="C1000" s="14"/>
      <c r="D1000" s="14"/>
      <c r="E1000" s="13"/>
      <c r="F1000" s="13"/>
      <c r="G1000" s="13"/>
      <c r="H1000" s="13"/>
      <c r="I1000" s="13"/>
      <c r="J1000" s="14"/>
      <c r="K1000" s="14"/>
      <c r="L1000" s="14"/>
      <c r="M1000" s="14"/>
      <c r="N1000" s="14"/>
      <c r="O1000" s="13"/>
      <c r="P1000" s="13"/>
      <c r="Q1000" s="13"/>
      <c r="R1000" s="13"/>
      <c r="S1000" s="13"/>
      <c r="T1000" s="13"/>
      <c r="U1000" s="13"/>
      <c r="V1000" s="13"/>
      <c r="W1000" s="13"/>
      <c r="X1000" s="13"/>
      <c r="Y1000" s="13"/>
      <c r="Z1000" s="13"/>
      <c r="AA1000" s="13"/>
      <c r="AB1000" s="15"/>
      <c r="AC1000" s="16"/>
      <c r="AD1000" s="17"/>
      <c r="AE1000" s="18"/>
      <c r="AF1000" s="14"/>
    </row>
    <row r="1001" spans="2:32" s="73" customFormat="1" x14ac:dyDescent="0.3">
      <c r="B1001" s="14"/>
      <c r="C1001" s="14"/>
      <c r="D1001" s="14"/>
      <c r="E1001" s="13"/>
      <c r="F1001" s="13"/>
      <c r="G1001" s="13"/>
      <c r="H1001" s="13"/>
      <c r="I1001" s="13"/>
      <c r="J1001" s="14"/>
      <c r="K1001" s="14"/>
      <c r="L1001" s="14"/>
      <c r="M1001" s="14"/>
      <c r="N1001" s="14"/>
      <c r="O1001" s="13"/>
      <c r="P1001" s="13"/>
      <c r="Q1001" s="13"/>
      <c r="R1001" s="13"/>
      <c r="S1001" s="13"/>
      <c r="T1001" s="13"/>
      <c r="U1001" s="13"/>
      <c r="V1001" s="13"/>
      <c r="W1001" s="13"/>
      <c r="X1001" s="13"/>
      <c r="Y1001" s="13"/>
      <c r="Z1001" s="13"/>
      <c r="AA1001" s="13"/>
      <c r="AB1001" s="15"/>
      <c r="AC1001" s="16"/>
      <c r="AD1001" s="17"/>
      <c r="AE1001" s="18"/>
      <c r="AF1001" s="14"/>
    </row>
    <row r="1002" spans="2:32" s="73" customFormat="1" x14ac:dyDescent="0.3">
      <c r="B1002" s="14"/>
      <c r="C1002" s="14"/>
      <c r="D1002" s="14"/>
      <c r="E1002" s="13"/>
      <c r="F1002" s="13"/>
      <c r="G1002" s="13"/>
      <c r="H1002" s="13"/>
      <c r="I1002" s="13"/>
      <c r="J1002" s="14"/>
      <c r="K1002" s="14"/>
      <c r="L1002" s="14"/>
      <c r="M1002" s="14"/>
      <c r="N1002" s="14"/>
      <c r="O1002" s="13"/>
      <c r="P1002" s="13"/>
      <c r="Q1002" s="13"/>
      <c r="R1002" s="13"/>
      <c r="S1002" s="13"/>
      <c r="T1002" s="13"/>
      <c r="U1002" s="13"/>
      <c r="V1002" s="13"/>
      <c r="W1002" s="13"/>
      <c r="X1002" s="13"/>
      <c r="Y1002" s="13"/>
      <c r="Z1002" s="13"/>
      <c r="AA1002" s="13"/>
      <c r="AB1002" s="15"/>
      <c r="AC1002" s="16"/>
      <c r="AD1002" s="17"/>
      <c r="AE1002" s="18"/>
      <c r="AF1002" s="14"/>
    </row>
    <row r="1003" spans="2:32" s="73" customFormat="1" x14ac:dyDescent="0.3">
      <c r="B1003" s="14"/>
      <c r="C1003" s="14"/>
      <c r="D1003" s="14"/>
      <c r="E1003" s="13"/>
      <c r="F1003" s="13"/>
      <c r="G1003" s="13"/>
      <c r="H1003" s="13"/>
      <c r="I1003" s="13"/>
      <c r="J1003" s="14"/>
      <c r="K1003" s="14"/>
      <c r="L1003" s="14"/>
      <c r="M1003" s="14"/>
      <c r="N1003" s="14"/>
      <c r="O1003" s="13"/>
      <c r="P1003" s="13"/>
      <c r="Q1003" s="13"/>
      <c r="R1003" s="13"/>
      <c r="S1003" s="13"/>
      <c r="T1003" s="13"/>
      <c r="U1003" s="13"/>
      <c r="V1003" s="13"/>
      <c r="W1003" s="13"/>
      <c r="X1003" s="13"/>
      <c r="Y1003" s="13"/>
      <c r="Z1003" s="13"/>
      <c r="AA1003" s="13"/>
      <c r="AB1003" s="15"/>
      <c r="AC1003" s="16"/>
      <c r="AD1003" s="17"/>
      <c r="AE1003" s="18"/>
      <c r="AF1003" s="14"/>
    </row>
    <row r="1004" spans="2:32" s="73" customFormat="1" x14ac:dyDescent="0.3">
      <c r="B1004" s="14"/>
      <c r="C1004" s="14"/>
      <c r="D1004" s="14"/>
      <c r="E1004" s="13"/>
      <c r="F1004" s="13"/>
      <c r="G1004" s="13"/>
      <c r="H1004" s="13"/>
      <c r="I1004" s="13"/>
      <c r="J1004" s="14"/>
      <c r="K1004" s="14"/>
      <c r="L1004" s="14"/>
      <c r="M1004" s="14"/>
      <c r="N1004" s="14"/>
      <c r="O1004" s="13"/>
      <c r="P1004" s="13"/>
      <c r="Q1004" s="13"/>
      <c r="R1004" s="13"/>
      <c r="S1004" s="13"/>
      <c r="T1004" s="13"/>
      <c r="U1004" s="13"/>
      <c r="V1004" s="13"/>
      <c r="W1004" s="13"/>
      <c r="X1004" s="13"/>
      <c r="Y1004" s="13"/>
      <c r="Z1004" s="13"/>
      <c r="AA1004" s="13"/>
      <c r="AB1004" s="15"/>
      <c r="AC1004" s="16"/>
      <c r="AD1004" s="17"/>
      <c r="AE1004" s="18"/>
      <c r="AF1004" s="14"/>
    </row>
    <row r="1005" spans="2:32" s="73" customFormat="1" x14ac:dyDescent="0.3">
      <c r="B1005" s="14"/>
      <c r="C1005" s="14"/>
      <c r="D1005" s="14"/>
      <c r="E1005" s="13"/>
      <c r="F1005" s="13"/>
      <c r="G1005" s="13"/>
      <c r="H1005" s="13"/>
      <c r="I1005" s="13"/>
      <c r="J1005" s="14"/>
      <c r="K1005" s="14"/>
      <c r="L1005" s="14"/>
      <c r="M1005" s="14"/>
      <c r="N1005" s="14"/>
      <c r="O1005" s="13"/>
      <c r="P1005" s="13"/>
      <c r="Q1005" s="13"/>
      <c r="R1005" s="13"/>
      <c r="S1005" s="13"/>
      <c r="T1005" s="13"/>
      <c r="U1005" s="13"/>
      <c r="V1005" s="13"/>
      <c r="W1005" s="13"/>
      <c r="X1005" s="13"/>
      <c r="Y1005" s="13"/>
      <c r="Z1005" s="13"/>
      <c r="AA1005" s="13"/>
      <c r="AB1005" s="15"/>
      <c r="AC1005" s="16"/>
      <c r="AD1005" s="17"/>
      <c r="AE1005" s="18"/>
      <c r="AF1005" s="14"/>
    </row>
    <row r="1006" spans="2:32" s="73" customFormat="1" x14ac:dyDescent="0.3">
      <c r="B1006" s="14"/>
      <c r="C1006" s="14"/>
      <c r="D1006" s="14"/>
      <c r="E1006" s="13"/>
      <c r="F1006" s="13"/>
      <c r="G1006" s="13"/>
      <c r="H1006" s="13"/>
      <c r="I1006" s="13"/>
      <c r="J1006" s="14"/>
      <c r="K1006" s="14"/>
      <c r="L1006" s="14"/>
      <c r="M1006" s="14"/>
      <c r="N1006" s="14"/>
      <c r="O1006" s="13"/>
      <c r="P1006" s="13"/>
      <c r="Q1006" s="13"/>
      <c r="R1006" s="13"/>
      <c r="S1006" s="13"/>
      <c r="T1006" s="13"/>
      <c r="U1006" s="13"/>
      <c r="V1006" s="13"/>
      <c r="W1006" s="13"/>
      <c r="X1006" s="13"/>
      <c r="Y1006" s="13"/>
      <c r="Z1006" s="13"/>
      <c r="AA1006" s="13"/>
      <c r="AB1006" s="15"/>
      <c r="AC1006" s="16"/>
      <c r="AD1006" s="17"/>
      <c r="AE1006" s="18"/>
      <c r="AF1006" s="14"/>
    </row>
    <row r="1007" spans="2:32" s="73" customFormat="1" x14ac:dyDescent="0.3">
      <c r="B1007" s="14"/>
      <c r="C1007" s="14"/>
      <c r="D1007" s="14"/>
      <c r="E1007" s="13"/>
      <c r="F1007" s="13"/>
      <c r="G1007" s="13"/>
      <c r="H1007" s="13"/>
      <c r="I1007" s="13"/>
      <c r="J1007" s="14"/>
      <c r="K1007" s="14"/>
      <c r="L1007" s="14"/>
      <c r="M1007" s="14"/>
      <c r="N1007" s="14"/>
      <c r="O1007" s="13"/>
      <c r="P1007" s="13"/>
      <c r="Q1007" s="13"/>
      <c r="R1007" s="13"/>
      <c r="S1007" s="13"/>
      <c r="T1007" s="13"/>
      <c r="U1007" s="13"/>
      <c r="V1007" s="13"/>
      <c r="W1007" s="13"/>
      <c r="X1007" s="13"/>
      <c r="Y1007" s="13"/>
      <c r="Z1007" s="13"/>
      <c r="AA1007" s="13"/>
      <c r="AB1007" s="15"/>
      <c r="AC1007" s="16"/>
      <c r="AD1007" s="17"/>
      <c r="AE1007" s="18"/>
      <c r="AF1007" s="14"/>
    </row>
    <row r="1008" spans="2:32" s="73" customFormat="1" x14ac:dyDescent="0.3">
      <c r="B1008" s="14"/>
      <c r="C1008" s="14"/>
      <c r="D1008" s="14"/>
      <c r="E1008" s="13"/>
      <c r="F1008" s="13"/>
      <c r="G1008" s="13"/>
      <c r="H1008" s="13"/>
      <c r="I1008" s="13"/>
      <c r="J1008" s="14"/>
      <c r="K1008" s="14"/>
      <c r="L1008" s="14"/>
      <c r="M1008" s="14"/>
      <c r="N1008" s="14"/>
      <c r="O1008" s="13"/>
      <c r="P1008" s="13"/>
      <c r="Q1008" s="13"/>
      <c r="R1008" s="13"/>
      <c r="S1008" s="13"/>
      <c r="T1008" s="13"/>
      <c r="U1008" s="13"/>
      <c r="V1008" s="13"/>
      <c r="W1008" s="13"/>
      <c r="X1008" s="13"/>
      <c r="Y1008" s="13"/>
      <c r="Z1008" s="13"/>
      <c r="AA1008" s="13"/>
      <c r="AB1008" s="15"/>
      <c r="AC1008" s="16"/>
      <c r="AD1008" s="17"/>
      <c r="AE1008" s="18"/>
      <c r="AF1008" s="14"/>
    </row>
    <row r="1009" spans="2:32" s="73" customFormat="1" x14ac:dyDescent="0.3">
      <c r="B1009" s="14"/>
      <c r="C1009" s="14"/>
      <c r="D1009" s="14"/>
      <c r="E1009" s="13"/>
      <c r="F1009" s="13"/>
      <c r="G1009" s="13"/>
      <c r="H1009" s="13"/>
      <c r="I1009" s="13"/>
      <c r="J1009" s="14"/>
      <c r="K1009" s="14"/>
      <c r="L1009" s="14"/>
      <c r="M1009" s="14"/>
      <c r="N1009" s="14"/>
      <c r="O1009" s="13"/>
      <c r="P1009" s="13"/>
      <c r="Q1009" s="13"/>
      <c r="R1009" s="13"/>
      <c r="S1009" s="13"/>
      <c r="T1009" s="13"/>
      <c r="U1009" s="13"/>
      <c r="V1009" s="13"/>
      <c r="W1009" s="13"/>
      <c r="X1009" s="13"/>
      <c r="Y1009" s="13"/>
      <c r="Z1009" s="13"/>
      <c r="AA1009" s="13"/>
      <c r="AB1009" s="15"/>
      <c r="AC1009" s="16"/>
      <c r="AD1009" s="17"/>
      <c r="AE1009" s="18"/>
      <c r="AF1009" s="14"/>
    </row>
    <row r="1010" spans="2:32" s="73" customFormat="1" x14ac:dyDescent="0.3">
      <c r="B1010" s="14"/>
      <c r="C1010" s="14"/>
      <c r="D1010" s="14"/>
      <c r="E1010" s="13"/>
      <c r="F1010" s="13"/>
      <c r="G1010" s="13"/>
      <c r="H1010" s="13"/>
      <c r="I1010" s="13"/>
      <c r="J1010" s="14"/>
      <c r="K1010" s="14"/>
      <c r="L1010" s="14"/>
      <c r="M1010" s="14"/>
      <c r="N1010" s="14"/>
      <c r="O1010" s="13"/>
      <c r="P1010" s="13"/>
      <c r="Q1010" s="13"/>
      <c r="R1010" s="13"/>
      <c r="S1010" s="13"/>
      <c r="T1010" s="13"/>
      <c r="U1010" s="13"/>
      <c r="V1010" s="13"/>
      <c r="W1010" s="13"/>
      <c r="X1010" s="13"/>
      <c r="Y1010" s="13"/>
      <c r="Z1010" s="13"/>
      <c r="AA1010" s="13"/>
      <c r="AB1010" s="15"/>
      <c r="AC1010" s="16"/>
      <c r="AD1010" s="17"/>
      <c r="AE1010" s="18"/>
      <c r="AF1010" s="14"/>
    </row>
    <row r="1011" spans="2:32" s="73" customFormat="1" x14ac:dyDescent="0.3">
      <c r="B1011" s="14"/>
      <c r="C1011" s="14"/>
      <c r="D1011" s="14"/>
      <c r="E1011" s="13"/>
      <c r="F1011" s="13"/>
      <c r="G1011" s="13"/>
      <c r="H1011" s="13"/>
      <c r="I1011" s="13"/>
      <c r="J1011" s="14"/>
      <c r="K1011" s="14"/>
      <c r="L1011" s="14"/>
      <c r="M1011" s="14"/>
      <c r="N1011" s="14"/>
      <c r="O1011" s="13"/>
      <c r="P1011" s="13"/>
      <c r="Q1011" s="13"/>
      <c r="R1011" s="13"/>
      <c r="S1011" s="13"/>
      <c r="T1011" s="13"/>
      <c r="U1011" s="13"/>
      <c r="V1011" s="13"/>
      <c r="W1011" s="13"/>
      <c r="X1011" s="13"/>
      <c r="Y1011" s="13"/>
      <c r="Z1011" s="13"/>
      <c r="AA1011" s="13"/>
      <c r="AB1011" s="15"/>
      <c r="AC1011" s="16"/>
      <c r="AD1011" s="17"/>
      <c r="AE1011" s="18"/>
      <c r="AF1011" s="14"/>
    </row>
  </sheetData>
  <mergeCells count="77">
    <mergeCell ref="B869:B876"/>
    <mergeCell ref="B916:B923"/>
    <mergeCell ref="B926:B933"/>
    <mergeCell ref="B971:B978"/>
    <mergeCell ref="C971:C974"/>
    <mergeCell ref="C926:C930"/>
    <mergeCell ref="C729:C733"/>
    <mergeCell ref="C754:C758"/>
    <mergeCell ref="C814:C818"/>
    <mergeCell ref="B814:B821"/>
    <mergeCell ref="B754:B760"/>
    <mergeCell ref="B729:B735"/>
    <mergeCell ref="B591:B595"/>
    <mergeCell ref="C591:C595"/>
    <mergeCell ref="C667:C671"/>
    <mergeCell ref="C698:C702"/>
    <mergeCell ref="B698:B705"/>
    <mergeCell ref="B667:B674"/>
    <mergeCell ref="C364:C368"/>
    <mergeCell ref="B364:B368"/>
    <mergeCell ref="B479:B483"/>
    <mergeCell ref="C479:C483"/>
    <mergeCell ref="B224:B228"/>
    <mergeCell ref="C224:C228"/>
    <mergeCell ref="B287:B290"/>
    <mergeCell ref="K869:M869"/>
    <mergeCell ref="K916:M916"/>
    <mergeCell ref="K926:M926"/>
    <mergeCell ref="K971:M971"/>
    <mergeCell ref="C165:C170"/>
    <mergeCell ref="K667:M667"/>
    <mergeCell ref="K698:M698"/>
    <mergeCell ref="K729:M729"/>
    <mergeCell ref="K754:M754"/>
    <mergeCell ref="K814:M814"/>
    <mergeCell ref="K591:M591"/>
    <mergeCell ref="K253:M253"/>
    <mergeCell ref="K287:M287"/>
    <mergeCell ref="K364:M364"/>
    <mergeCell ref="K479:M479"/>
    <mergeCell ref="K165:M165"/>
    <mergeCell ref="B165:B170"/>
    <mergeCell ref="B173:B179"/>
    <mergeCell ref="C173:C179"/>
    <mergeCell ref="B198:B200"/>
    <mergeCell ref="C198:C200"/>
    <mergeCell ref="K173:M173"/>
    <mergeCell ref="K198:M198"/>
    <mergeCell ref="K224:M224"/>
    <mergeCell ref="K14:M14"/>
    <mergeCell ref="K115:M115"/>
    <mergeCell ref="B1:AF1"/>
    <mergeCell ref="B2:AF2"/>
    <mergeCell ref="B3:AF3"/>
    <mergeCell ref="B4:AF4"/>
    <mergeCell ref="AF6:AF8"/>
    <mergeCell ref="D6:D8"/>
    <mergeCell ref="O7:P7"/>
    <mergeCell ref="Y7:Z7"/>
    <mergeCell ref="Q7:R7"/>
    <mergeCell ref="U7:V7"/>
    <mergeCell ref="AB7:AB8"/>
    <mergeCell ref="AC7:AC8"/>
    <mergeCell ref="B6:B8"/>
    <mergeCell ref="C6:C8"/>
    <mergeCell ref="N6:N8"/>
    <mergeCell ref="AB6:AC6"/>
    <mergeCell ref="AD6:AE6"/>
    <mergeCell ref="E9:I9"/>
    <mergeCell ref="S7:T7"/>
    <mergeCell ref="W7:X7"/>
    <mergeCell ref="E6:I8"/>
    <mergeCell ref="J6:J8"/>
    <mergeCell ref="O6:Z6"/>
    <mergeCell ref="AA6:AA8"/>
    <mergeCell ref="K6:M8"/>
    <mergeCell ref="K9:M9"/>
  </mergeCells>
  <printOptions horizontalCentered="1"/>
  <pageMargins left="0.196850393700787" right="0.196850393700787" top="0.74803149606299202" bottom="0.74803149606299202" header="0.31496062992126" footer="0.31496062992126"/>
  <pageSetup paperSize="137"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24"/>
  <sheetViews>
    <sheetView tabSelected="1" view="pageBreakPreview" topLeftCell="A670" zoomScale="60" zoomScaleNormal="75" workbookViewId="0">
      <selection activeCell="K699" sqref="K699"/>
    </sheetView>
  </sheetViews>
  <sheetFormatPr defaultColWidth="9.140625" defaultRowHeight="16.5" x14ac:dyDescent="0.3"/>
  <cols>
    <col min="1" max="1" width="9.140625" style="269"/>
    <col min="2" max="2" width="13.140625" style="111" customWidth="1"/>
    <col min="3" max="3" width="14.42578125" style="111" customWidth="1"/>
    <col min="4" max="4" width="10.42578125" style="269" customWidth="1"/>
    <col min="5" max="9" width="3.5703125" style="113" customWidth="1"/>
    <col min="10" max="10" width="49.85546875" style="111" customWidth="1"/>
    <col min="11" max="11" width="8.42578125" style="114" customWidth="1"/>
    <col min="12" max="12" width="1.5703125" style="114" customWidth="1"/>
    <col min="13" max="13" width="2.42578125" style="114" customWidth="1"/>
    <col min="14" max="14" width="26.7109375" style="115" customWidth="1"/>
    <col min="15" max="15" width="13.85546875" style="111" customWidth="1"/>
    <col min="16" max="16" width="16.140625" style="113" customWidth="1"/>
    <col min="17" max="17" width="19" style="330" bestFit="1" customWidth="1"/>
    <col min="18" max="18" width="14.85546875" style="113" customWidth="1"/>
    <col min="19" max="19" width="20.5703125" style="344" bestFit="1" customWidth="1"/>
    <col min="20" max="20" width="13.7109375" style="113" customWidth="1"/>
    <col min="21" max="21" width="20.5703125" style="344" bestFit="1" customWidth="1"/>
    <col min="22" max="22" width="14" style="113" customWidth="1"/>
    <col min="23" max="23" width="20.5703125" style="344" bestFit="1" customWidth="1"/>
    <col min="24" max="24" width="14.85546875" style="113" customWidth="1"/>
    <col min="25" max="25" width="20.5703125" style="344" bestFit="1" customWidth="1"/>
    <col min="26" max="26" width="16.140625" style="113" customWidth="1"/>
    <col min="27" max="27" width="20.5703125" style="344" bestFit="1" customWidth="1"/>
    <col min="28" max="28" width="13.85546875" style="113" customWidth="1"/>
    <col min="29" max="29" width="16.42578125" style="116" hidden="1" customWidth="1"/>
    <col min="30" max="30" width="15.140625" style="117" hidden="1" customWidth="1"/>
    <col min="31" max="31" width="12.85546875" style="118" hidden="1" customWidth="1"/>
    <col min="32" max="32" width="10.85546875" style="119" hidden="1" customWidth="1"/>
    <col min="33" max="33" width="16.140625" style="269" customWidth="1"/>
    <col min="34" max="16384" width="9.140625" style="11"/>
  </cols>
  <sheetData>
    <row r="1" spans="1:33" ht="18" x14ac:dyDescent="0.35">
      <c r="B1" s="531" t="s">
        <v>261</v>
      </c>
      <c r="C1" s="531"/>
      <c r="D1" s="531"/>
      <c r="E1" s="531"/>
      <c r="F1" s="531"/>
      <c r="G1" s="531"/>
      <c r="H1" s="531"/>
      <c r="I1" s="531"/>
      <c r="J1" s="531"/>
      <c r="K1" s="531"/>
      <c r="L1" s="531"/>
      <c r="M1" s="531"/>
      <c r="N1" s="531"/>
      <c r="O1" s="531"/>
      <c r="P1" s="531"/>
      <c r="Q1" s="531"/>
      <c r="R1" s="531"/>
      <c r="S1" s="532"/>
      <c r="T1" s="531"/>
      <c r="U1" s="532"/>
      <c r="V1" s="531"/>
      <c r="W1" s="532"/>
      <c r="X1" s="531"/>
      <c r="Y1" s="532"/>
      <c r="Z1" s="531"/>
      <c r="AA1" s="532"/>
      <c r="AB1" s="531"/>
      <c r="AC1" s="531"/>
      <c r="AD1" s="531"/>
      <c r="AE1" s="531"/>
      <c r="AF1" s="531"/>
      <c r="AG1" s="531"/>
    </row>
    <row r="2" spans="1:33" ht="18" x14ac:dyDescent="0.35">
      <c r="B2" s="531" t="s">
        <v>262</v>
      </c>
      <c r="C2" s="531"/>
      <c r="D2" s="531"/>
      <c r="E2" s="531"/>
      <c r="F2" s="531"/>
      <c r="G2" s="531"/>
      <c r="H2" s="531"/>
      <c r="I2" s="531"/>
      <c r="J2" s="531"/>
      <c r="K2" s="531"/>
      <c r="L2" s="531"/>
      <c r="M2" s="531"/>
      <c r="N2" s="531"/>
      <c r="O2" s="531"/>
      <c r="P2" s="531"/>
      <c r="Q2" s="531"/>
      <c r="R2" s="531"/>
      <c r="S2" s="532"/>
      <c r="T2" s="531"/>
      <c r="U2" s="532"/>
      <c r="V2" s="531"/>
      <c r="W2" s="532"/>
      <c r="X2" s="531"/>
      <c r="Y2" s="532"/>
      <c r="Z2" s="531"/>
      <c r="AA2" s="532"/>
      <c r="AB2" s="531"/>
      <c r="AC2" s="531"/>
      <c r="AD2" s="531"/>
      <c r="AE2" s="531"/>
      <c r="AF2" s="531"/>
      <c r="AG2" s="531"/>
    </row>
    <row r="3" spans="1:33" ht="18" x14ac:dyDescent="0.35">
      <c r="B3" s="531" t="s">
        <v>260</v>
      </c>
      <c r="C3" s="531"/>
      <c r="D3" s="531"/>
      <c r="E3" s="531"/>
      <c r="F3" s="531"/>
      <c r="G3" s="531"/>
      <c r="H3" s="531"/>
      <c r="I3" s="531"/>
      <c r="J3" s="531"/>
      <c r="K3" s="531"/>
      <c r="L3" s="531"/>
      <c r="M3" s="531"/>
      <c r="N3" s="531"/>
      <c r="O3" s="531"/>
      <c r="P3" s="531"/>
      <c r="Q3" s="531"/>
      <c r="R3" s="531"/>
      <c r="S3" s="532"/>
      <c r="T3" s="531"/>
      <c r="U3" s="532"/>
      <c r="V3" s="531"/>
      <c r="W3" s="532"/>
      <c r="X3" s="531"/>
      <c r="Y3" s="532"/>
      <c r="Z3" s="531"/>
      <c r="AA3" s="532"/>
      <c r="AB3" s="531"/>
      <c r="AC3" s="531"/>
      <c r="AD3" s="531"/>
      <c r="AE3" s="531"/>
      <c r="AF3" s="531"/>
      <c r="AG3" s="531"/>
    </row>
    <row r="4" spans="1:33" ht="18" x14ac:dyDescent="0.35">
      <c r="B4" s="531" t="s">
        <v>1565</v>
      </c>
      <c r="C4" s="531"/>
      <c r="D4" s="531"/>
      <c r="E4" s="531"/>
      <c r="F4" s="531"/>
      <c r="G4" s="531"/>
      <c r="H4" s="531"/>
      <c r="I4" s="531"/>
      <c r="J4" s="531"/>
      <c r="K4" s="531"/>
      <c r="L4" s="531"/>
      <c r="M4" s="531"/>
      <c r="N4" s="531"/>
      <c r="O4" s="531"/>
      <c r="P4" s="531"/>
      <c r="Q4" s="531"/>
      <c r="R4" s="531"/>
      <c r="S4" s="532"/>
      <c r="T4" s="531"/>
      <c r="U4" s="532"/>
      <c r="V4" s="531"/>
      <c r="W4" s="532"/>
      <c r="X4" s="531"/>
      <c r="Y4" s="532"/>
      <c r="Z4" s="531"/>
      <c r="AA4" s="532"/>
      <c r="AB4" s="531"/>
      <c r="AC4" s="531"/>
      <c r="AD4" s="531"/>
      <c r="AE4" s="531"/>
      <c r="AF4" s="531"/>
      <c r="AG4" s="531"/>
    </row>
    <row r="5" spans="1:33" x14ac:dyDescent="0.3">
      <c r="E5" s="112"/>
    </row>
    <row r="6" spans="1:33" x14ac:dyDescent="0.3">
      <c r="B6" s="533" t="s">
        <v>264</v>
      </c>
      <c r="C6" s="534" t="s">
        <v>265</v>
      </c>
      <c r="D6" s="533" t="s">
        <v>266</v>
      </c>
      <c r="E6" s="533" t="s">
        <v>36</v>
      </c>
      <c r="F6" s="537"/>
      <c r="G6" s="537"/>
      <c r="H6" s="537"/>
      <c r="I6" s="537"/>
      <c r="J6" s="533" t="s">
        <v>288</v>
      </c>
      <c r="K6" s="538" t="s">
        <v>267</v>
      </c>
      <c r="L6" s="539"/>
      <c r="M6" s="539"/>
      <c r="N6" s="540"/>
      <c r="O6" s="534" t="s">
        <v>268</v>
      </c>
      <c r="P6" s="556" t="s">
        <v>278</v>
      </c>
      <c r="Q6" s="557"/>
      <c r="R6" s="557"/>
      <c r="S6" s="558"/>
      <c r="T6" s="557"/>
      <c r="U6" s="558"/>
      <c r="V6" s="557"/>
      <c r="W6" s="558"/>
      <c r="X6" s="557"/>
      <c r="Y6" s="558"/>
      <c r="Z6" s="557"/>
      <c r="AA6" s="558"/>
      <c r="AB6" s="534" t="s">
        <v>276</v>
      </c>
      <c r="AC6" s="559" t="s">
        <v>37</v>
      </c>
      <c r="AD6" s="560"/>
      <c r="AE6" s="547" t="s">
        <v>38</v>
      </c>
      <c r="AF6" s="548"/>
      <c r="AG6" s="534" t="s">
        <v>277</v>
      </c>
    </row>
    <row r="7" spans="1:33" ht="33" x14ac:dyDescent="0.3">
      <c r="B7" s="533"/>
      <c r="C7" s="535"/>
      <c r="D7" s="533"/>
      <c r="E7" s="533"/>
      <c r="F7" s="537"/>
      <c r="G7" s="537"/>
      <c r="H7" s="537"/>
      <c r="I7" s="537"/>
      <c r="J7" s="533"/>
      <c r="K7" s="541"/>
      <c r="L7" s="542"/>
      <c r="M7" s="542"/>
      <c r="N7" s="543"/>
      <c r="O7" s="535"/>
      <c r="P7" s="549" t="s">
        <v>269</v>
      </c>
      <c r="Q7" s="550"/>
      <c r="R7" s="549" t="s">
        <v>271</v>
      </c>
      <c r="S7" s="551"/>
      <c r="T7" s="549" t="s">
        <v>272</v>
      </c>
      <c r="U7" s="551"/>
      <c r="V7" s="549" t="s">
        <v>273</v>
      </c>
      <c r="W7" s="551"/>
      <c r="X7" s="549" t="s">
        <v>274</v>
      </c>
      <c r="Y7" s="551"/>
      <c r="Z7" s="552" t="s">
        <v>275</v>
      </c>
      <c r="AA7" s="553"/>
      <c r="AB7" s="535"/>
      <c r="AC7" s="554" t="s">
        <v>39</v>
      </c>
      <c r="AD7" s="554" t="s">
        <v>40</v>
      </c>
      <c r="AE7" s="120" t="s">
        <v>41</v>
      </c>
      <c r="AF7" s="121" t="s">
        <v>42</v>
      </c>
      <c r="AG7" s="535"/>
    </row>
    <row r="8" spans="1:33" x14ac:dyDescent="0.3">
      <c r="B8" s="533"/>
      <c r="C8" s="536"/>
      <c r="D8" s="533"/>
      <c r="E8" s="537"/>
      <c r="F8" s="537"/>
      <c r="G8" s="537"/>
      <c r="H8" s="537"/>
      <c r="I8" s="537"/>
      <c r="J8" s="533"/>
      <c r="K8" s="544"/>
      <c r="L8" s="545"/>
      <c r="M8" s="545"/>
      <c r="N8" s="546"/>
      <c r="O8" s="536"/>
      <c r="P8" s="122" t="s">
        <v>43</v>
      </c>
      <c r="Q8" s="331" t="s">
        <v>270</v>
      </c>
      <c r="R8" s="122" t="s">
        <v>43</v>
      </c>
      <c r="S8" s="345" t="s">
        <v>270</v>
      </c>
      <c r="T8" s="122" t="s">
        <v>43</v>
      </c>
      <c r="U8" s="345" t="s">
        <v>270</v>
      </c>
      <c r="V8" s="122" t="s">
        <v>43</v>
      </c>
      <c r="W8" s="345" t="s">
        <v>270</v>
      </c>
      <c r="X8" s="122" t="s">
        <v>43</v>
      </c>
      <c r="Y8" s="345" t="s">
        <v>270</v>
      </c>
      <c r="Z8" s="122" t="s">
        <v>43</v>
      </c>
      <c r="AA8" s="355" t="s">
        <v>270</v>
      </c>
      <c r="AB8" s="536"/>
      <c r="AC8" s="555"/>
      <c r="AD8" s="555"/>
      <c r="AE8" s="123" t="s">
        <v>44</v>
      </c>
      <c r="AF8" s="123" t="s">
        <v>44</v>
      </c>
      <c r="AG8" s="536"/>
    </row>
    <row r="9" spans="1:33" x14ac:dyDescent="0.3">
      <c r="B9" s="124" t="s">
        <v>284</v>
      </c>
      <c r="C9" s="124" t="s">
        <v>285</v>
      </c>
      <c r="D9" s="124" t="s">
        <v>45</v>
      </c>
      <c r="E9" s="561" t="s">
        <v>46</v>
      </c>
      <c r="F9" s="562"/>
      <c r="G9" s="562"/>
      <c r="H9" s="562"/>
      <c r="I9" s="563"/>
      <c r="J9" s="124" t="s">
        <v>47</v>
      </c>
      <c r="K9" s="564" t="s">
        <v>48</v>
      </c>
      <c r="L9" s="565"/>
      <c r="M9" s="565"/>
      <c r="N9" s="566"/>
      <c r="O9" s="125" t="s">
        <v>49</v>
      </c>
      <c r="P9" s="125" t="s">
        <v>50</v>
      </c>
      <c r="Q9" s="332" t="s">
        <v>51</v>
      </c>
      <c r="R9" s="125" t="s">
        <v>52</v>
      </c>
      <c r="S9" s="126" t="s">
        <v>53</v>
      </c>
      <c r="T9" s="125" t="s">
        <v>54</v>
      </c>
      <c r="U9" s="126" t="s">
        <v>55</v>
      </c>
      <c r="V9" s="125" t="s">
        <v>56</v>
      </c>
      <c r="W9" s="126" t="s">
        <v>57</v>
      </c>
      <c r="X9" s="125" t="s">
        <v>279</v>
      </c>
      <c r="Y9" s="126" t="s">
        <v>280</v>
      </c>
      <c r="Z9" s="125" t="s">
        <v>281</v>
      </c>
      <c r="AA9" s="126" t="s">
        <v>281</v>
      </c>
      <c r="AB9" s="125" t="s">
        <v>282</v>
      </c>
      <c r="AC9" s="125" t="s">
        <v>283</v>
      </c>
      <c r="AD9" s="126" t="s">
        <v>55</v>
      </c>
      <c r="AE9" s="125" t="s">
        <v>56</v>
      </c>
      <c r="AF9" s="124" t="s">
        <v>57</v>
      </c>
      <c r="AG9" s="125" t="s">
        <v>283</v>
      </c>
    </row>
    <row r="10" spans="1:33" s="32" customFormat="1" ht="18" x14ac:dyDescent="0.35">
      <c r="A10" s="270"/>
      <c r="B10" s="127"/>
      <c r="C10" s="127"/>
      <c r="D10" s="270"/>
      <c r="E10" s="128"/>
      <c r="F10" s="128"/>
      <c r="G10" s="128"/>
      <c r="H10" s="128"/>
      <c r="I10" s="128"/>
      <c r="J10" s="317"/>
      <c r="K10" s="129"/>
      <c r="L10" s="130"/>
      <c r="M10" s="325"/>
      <c r="N10" s="319"/>
      <c r="O10" s="127"/>
      <c r="P10" s="127"/>
      <c r="Q10" s="333"/>
      <c r="R10" s="127"/>
      <c r="S10" s="346"/>
      <c r="T10" s="127"/>
      <c r="U10" s="346"/>
      <c r="V10" s="127"/>
      <c r="W10" s="346"/>
      <c r="X10" s="127"/>
      <c r="Y10" s="346"/>
      <c r="Z10" s="127"/>
      <c r="AA10" s="351"/>
      <c r="AB10" s="131"/>
      <c r="AC10" s="132"/>
      <c r="AD10" s="133"/>
      <c r="AE10" s="134"/>
      <c r="AF10" s="135"/>
      <c r="AG10" s="271"/>
    </row>
    <row r="11" spans="1:33" s="32" customFormat="1" ht="18" x14ac:dyDescent="0.35">
      <c r="A11" s="270"/>
      <c r="B11" s="317"/>
      <c r="C11" s="127"/>
      <c r="D11" s="270"/>
      <c r="E11" s="128">
        <v>1</v>
      </c>
      <c r="F11" s="136"/>
      <c r="G11" s="136"/>
      <c r="H11" s="136"/>
      <c r="I11" s="136"/>
      <c r="J11" s="317" t="s">
        <v>58</v>
      </c>
      <c r="K11" s="324"/>
      <c r="L11" s="325"/>
      <c r="M11" s="325"/>
      <c r="N11" s="318"/>
      <c r="O11" s="316"/>
      <c r="P11" s="137"/>
      <c r="Q11" s="334"/>
      <c r="R11" s="137"/>
      <c r="S11" s="178"/>
      <c r="T11" s="137"/>
      <c r="U11" s="178"/>
      <c r="V11" s="137"/>
      <c r="W11" s="178"/>
      <c r="X11" s="137"/>
      <c r="Y11" s="178"/>
      <c r="Z11" s="137"/>
      <c r="AA11" s="178"/>
      <c r="AB11" s="316"/>
      <c r="AC11" s="138"/>
      <c r="AD11" s="139"/>
      <c r="AE11" s="140"/>
      <c r="AF11" s="141"/>
      <c r="AG11" s="272"/>
    </row>
    <row r="12" spans="1:33" s="32" customFormat="1" ht="18" x14ac:dyDescent="0.35">
      <c r="A12" s="270"/>
      <c r="B12" s="317"/>
      <c r="C12" s="127"/>
      <c r="D12" s="270"/>
      <c r="E12" s="128">
        <v>1</v>
      </c>
      <c r="F12" s="142">
        <v>1</v>
      </c>
      <c r="G12" s="136"/>
      <c r="H12" s="136"/>
      <c r="I12" s="136"/>
      <c r="J12" s="317" t="s">
        <v>59</v>
      </c>
      <c r="K12" s="324"/>
      <c r="L12" s="325"/>
      <c r="M12" s="325"/>
      <c r="N12" s="318"/>
      <c r="O12" s="316"/>
      <c r="P12" s="137"/>
      <c r="Q12" s="334"/>
      <c r="R12" s="137"/>
      <c r="S12" s="178"/>
      <c r="T12" s="137"/>
      <c r="U12" s="178"/>
      <c r="V12" s="137"/>
      <c r="W12" s="178"/>
      <c r="X12" s="137"/>
      <c r="Y12" s="178"/>
      <c r="Z12" s="137"/>
      <c r="AA12" s="178"/>
      <c r="AB12" s="316"/>
      <c r="AC12" s="138"/>
      <c r="AD12" s="139"/>
      <c r="AE12" s="140"/>
      <c r="AF12" s="141"/>
      <c r="AG12" s="272"/>
    </row>
    <row r="13" spans="1:33" s="32" customFormat="1" ht="18" x14ac:dyDescent="0.35">
      <c r="A13" s="270"/>
      <c r="B13" s="127"/>
      <c r="C13" s="127"/>
      <c r="D13" s="270"/>
      <c r="E13" s="143"/>
      <c r="F13" s="136"/>
      <c r="G13" s="136"/>
      <c r="H13" s="136"/>
      <c r="I13" s="136"/>
      <c r="J13" s="318" t="s">
        <v>60</v>
      </c>
      <c r="K13" s="324"/>
      <c r="L13" s="325"/>
      <c r="M13" s="325"/>
      <c r="N13" s="319"/>
      <c r="O13" s="316"/>
      <c r="P13" s="137"/>
      <c r="Q13" s="334"/>
      <c r="R13" s="137"/>
      <c r="S13" s="178"/>
      <c r="T13" s="137"/>
      <c r="U13" s="178"/>
      <c r="V13" s="137"/>
      <c r="W13" s="178"/>
      <c r="X13" s="137"/>
      <c r="Y13" s="178"/>
      <c r="Z13" s="137"/>
      <c r="AA13" s="178"/>
      <c r="AB13" s="316"/>
      <c r="AC13" s="138"/>
      <c r="AD13" s="139"/>
      <c r="AE13" s="140"/>
      <c r="AF13" s="141"/>
      <c r="AG13" s="272"/>
    </row>
    <row r="14" spans="1:33" s="32" customFormat="1" ht="162" x14ac:dyDescent="0.35">
      <c r="A14" s="270"/>
      <c r="B14" s="127" t="s">
        <v>1059</v>
      </c>
      <c r="C14" s="127" t="s">
        <v>334</v>
      </c>
      <c r="D14" s="127" t="s">
        <v>1065</v>
      </c>
      <c r="E14" s="128">
        <v>1</v>
      </c>
      <c r="F14" s="142">
        <v>1</v>
      </c>
      <c r="G14" s="142">
        <v>1</v>
      </c>
      <c r="H14" s="142">
        <v>1</v>
      </c>
      <c r="I14" s="142"/>
      <c r="J14" s="318" t="s">
        <v>61</v>
      </c>
      <c r="K14" s="521" t="s">
        <v>289</v>
      </c>
      <c r="L14" s="522"/>
      <c r="M14" s="522"/>
      <c r="N14" s="523"/>
      <c r="O14" s="144">
        <v>1</v>
      </c>
      <c r="P14" s="327">
        <v>1</v>
      </c>
      <c r="Q14" s="335">
        <f>SUM(Q15:Q61)</f>
        <v>17687107000</v>
      </c>
      <c r="R14" s="327">
        <v>1</v>
      </c>
      <c r="S14" s="335">
        <f>SUM(S15:S61)</f>
        <v>18178957000</v>
      </c>
      <c r="T14" s="327">
        <v>1</v>
      </c>
      <c r="U14" s="335">
        <f>SUM(U15:U61)</f>
        <v>19996852700</v>
      </c>
      <c r="V14" s="327">
        <v>1</v>
      </c>
      <c r="W14" s="335">
        <f>SUM(W15:W61)</f>
        <v>21996537970</v>
      </c>
      <c r="X14" s="327">
        <v>1</v>
      </c>
      <c r="Y14" s="335">
        <f>SUM(Y15:Y61)</f>
        <v>24196191767</v>
      </c>
      <c r="Z14" s="327">
        <v>1</v>
      </c>
      <c r="AA14" s="335">
        <f>SUM(AA15:AA61)</f>
        <v>102055646437</v>
      </c>
      <c r="AB14" s="127" t="s">
        <v>66</v>
      </c>
      <c r="AC14" s="145">
        <f>SUM(AC17:AC61)</f>
        <v>636500</v>
      </c>
      <c r="AD14" s="145">
        <f>SUM(AD17:AD61)</f>
        <v>664485</v>
      </c>
      <c r="AE14" s="140"/>
      <c r="AF14" s="141"/>
      <c r="AG14" s="253" t="s">
        <v>62</v>
      </c>
    </row>
    <row r="15" spans="1:33" s="32" customFormat="1" ht="18" x14ac:dyDescent="0.35">
      <c r="A15" s="270"/>
      <c r="B15" s="316"/>
      <c r="C15" s="316"/>
      <c r="D15" s="275"/>
      <c r="E15" s="128"/>
      <c r="F15" s="142"/>
      <c r="G15" s="142"/>
      <c r="H15" s="142"/>
      <c r="I15" s="136"/>
      <c r="J15" s="318"/>
      <c r="K15" s="324"/>
      <c r="L15" s="325"/>
      <c r="M15" s="325"/>
      <c r="N15" s="319"/>
      <c r="O15" s="149"/>
      <c r="P15" s="137"/>
      <c r="Q15" s="334"/>
      <c r="R15" s="329"/>
      <c r="S15" s="334"/>
      <c r="T15" s="137"/>
      <c r="U15" s="178"/>
      <c r="V15" s="137"/>
      <c r="W15" s="178"/>
      <c r="X15" s="137"/>
      <c r="Y15" s="178"/>
      <c r="Z15" s="137"/>
      <c r="AA15" s="178"/>
      <c r="AB15" s="316"/>
      <c r="AC15" s="150"/>
      <c r="AD15" s="151"/>
      <c r="AE15" s="140"/>
      <c r="AF15" s="141"/>
      <c r="AG15" s="272"/>
    </row>
    <row r="16" spans="1:33" s="32" customFormat="1" ht="18" x14ac:dyDescent="0.35">
      <c r="A16" s="270"/>
      <c r="B16" s="316"/>
      <c r="C16" s="316"/>
      <c r="D16" s="275"/>
      <c r="E16" s="143"/>
      <c r="F16" s="136"/>
      <c r="G16" s="136"/>
      <c r="H16" s="136"/>
      <c r="I16" s="136"/>
      <c r="J16" s="318" t="s">
        <v>63</v>
      </c>
      <c r="K16" s="324"/>
      <c r="L16" s="325"/>
      <c r="M16" s="325"/>
      <c r="N16" s="319"/>
      <c r="O16" s="149"/>
      <c r="P16" s="137"/>
      <c r="Q16" s="334"/>
      <c r="R16" s="137"/>
      <c r="S16" s="334"/>
      <c r="T16" s="137"/>
      <c r="U16" s="178"/>
      <c r="V16" s="137"/>
      <c r="W16" s="178"/>
      <c r="X16" s="137"/>
      <c r="Y16" s="178"/>
      <c r="Z16" s="137"/>
      <c r="AA16" s="178"/>
      <c r="AB16" s="316"/>
      <c r="AC16" s="150"/>
      <c r="AD16" s="151"/>
      <c r="AE16" s="140"/>
      <c r="AF16" s="141"/>
      <c r="AG16" s="272"/>
    </row>
    <row r="17" spans="1:33" s="32" customFormat="1" ht="33" x14ac:dyDescent="0.35">
      <c r="A17" s="270"/>
      <c r="B17" s="316"/>
      <c r="C17" s="316"/>
      <c r="D17" s="275"/>
      <c r="E17" s="143">
        <v>1</v>
      </c>
      <c r="F17" s="136">
        <v>1</v>
      </c>
      <c r="G17" s="136">
        <v>1</v>
      </c>
      <c r="H17" s="136">
        <v>1</v>
      </c>
      <c r="I17" s="136">
        <v>1</v>
      </c>
      <c r="J17" s="314" t="s">
        <v>308</v>
      </c>
      <c r="K17" s="276" t="s">
        <v>290</v>
      </c>
      <c r="L17" s="277" t="s">
        <v>291</v>
      </c>
      <c r="M17" s="277" t="s">
        <v>292</v>
      </c>
      <c r="N17" s="326"/>
      <c r="O17" s="316" t="s">
        <v>301</v>
      </c>
      <c r="P17" s="316" t="s">
        <v>301</v>
      </c>
      <c r="Q17" s="334">
        <v>16906191000</v>
      </c>
      <c r="R17" s="316" t="s">
        <v>301</v>
      </c>
      <c r="S17" s="334">
        <f>Q17+(Q17*2.7%)+11954843</f>
        <v>17374613000</v>
      </c>
      <c r="T17" s="316" t="s">
        <v>301</v>
      </c>
      <c r="U17" s="334">
        <f>S17+(S17*10%)-300</f>
        <v>19112074000</v>
      </c>
      <c r="V17" s="316" t="s">
        <v>301</v>
      </c>
      <c r="W17" s="334">
        <f>U17+(U17*10%)+570</f>
        <v>21023281970</v>
      </c>
      <c r="X17" s="316" t="s">
        <v>301</v>
      </c>
      <c r="Y17" s="334">
        <f>W17+(W17*10%)+600</f>
        <v>23125610767</v>
      </c>
      <c r="Z17" s="316" t="s">
        <v>301</v>
      </c>
      <c r="AA17" s="334">
        <f>Y17+W17+U17+S17+Q17</f>
        <v>97541770737</v>
      </c>
      <c r="AB17" s="153" t="s">
        <v>66</v>
      </c>
      <c r="AC17" s="154">
        <v>96000</v>
      </c>
      <c r="AD17" s="155">
        <f>AC17+(AC17*1%)</f>
        <v>96960</v>
      </c>
      <c r="AE17" s="156" t="s">
        <v>66</v>
      </c>
      <c r="AF17" s="157" t="s">
        <v>67</v>
      </c>
      <c r="AG17" s="316" t="s">
        <v>65</v>
      </c>
    </row>
    <row r="18" spans="1:33" s="32" customFormat="1" ht="33" x14ac:dyDescent="0.35">
      <c r="A18" s="270"/>
      <c r="B18" s="316"/>
      <c r="C18" s="316"/>
      <c r="D18" s="275"/>
      <c r="E18" s="143"/>
      <c r="F18" s="136"/>
      <c r="G18" s="136"/>
      <c r="H18" s="136"/>
      <c r="I18" s="136"/>
      <c r="J18" s="314"/>
      <c r="K18" s="276" t="s">
        <v>293</v>
      </c>
      <c r="L18" s="277" t="s">
        <v>291</v>
      </c>
      <c r="M18" s="278" t="s">
        <v>299</v>
      </c>
      <c r="N18" s="315" t="s">
        <v>962</v>
      </c>
      <c r="O18" s="152" t="s">
        <v>961</v>
      </c>
      <c r="P18" s="152" t="s">
        <v>961</v>
      </c>
      <c r="Q18" s="334"/>
      <c r="R18" s="152" t="s">
        <v>961</v>
      </c>
      <c r="S18" s="334"/>
      <c r="T18" s="152" t="s">
        <v>961</v>
      </c>
      <c r="U18" s="348"/>
      <c r="V18" s="152" t="s">
        <v>961</v>
      </c>
      <c r="W18" s="348"/>
      <c r="X18" s="152" t="s">
        <v>961</v>
      </c>
      <c r="Y18" s="348"/>
      <c r="Z18" s="152" t="s">
        <v>961</v>
      </c>
      <c r="AA18" s="348"/>
      <c r="AB18" s="153"/>
      <c r="AC18" s="154"/>
      <c r="AD18" s="155"/>
      <c r="AE18" s="156"/>
      <c r="AF18" s="157"/>
      <c r="AG18" s="272"/>
    </row>
    <row r="19" spans="1:33" s="32" customFormat="1" ht="181.5" x14ac:dyDescent="0.35">
      <c r="A19" s="270"/>
      <c r="B19" s="316"/>
      <c r="C19" s="316"/>
      <c r="D19" s="275"/>
      <c r="E19" s="143"/>
      <c r="F19" s="136"/>
      <c r="G19" s="136"/>
      <c r="H19" s="136"/>
      <c r="I19" s="136"/>
      <c r="J19" s="314"/>
      <c r="K19" s="276"/>
      <c r="L19" s="277"/>
      <c r="M19" s="278" t="s">
        <v>303</v>
      </c>
      <c r="N19" s="315" t="s">
        <v>963</v>
      </c>
      <c r="O19" s="137" t="s">
        <v>964</v>
      </c>
      <c r="P19" s="137" t="s">
        <v>964</v>
      </c>
      <c r="Q19" s="334"/>
      <c r="R19" s="137" t="s">
        <v>964</v>
      </c>
      <c r="S19" s="334"/>
      <c r="T19" s="137" t="s">
        <v>964</v>
      </c>
      <c r="U19" s="348"/>
      <c r="V19" s="137" t="s">
        <v>964</v>
      </c>
      <c r="W19" s="348"/>
      <c r="X19" s="137" t="s">
        <v>964</v>
      </c>
      <c r="Y19" s="348"/>
      <c r="Z19" s="137" t="s">
        <v>964</v>
      </c>
      <c r="AA19" s="348"/>
      <c r="AB19" s="153"/>
      <c r="AC19" s="154"/>
      <c r="AD19" s="155"/>
      <c r="AE19" s="156"/>
      <c r="AF19" s="157"/>
      <c r="AG19" s="272"/>
    </row>
    <row r="20" spans="1:33" s="32" customFormat="1" ht="148.5" x14ac:dyDescent="0.35">
      <c r="A20" s="270"/>
      <c r="B20" s="316"/>
      <c r="C20" s="316"/>
      <c r="D20" s="275"/>
      <c r="E20" s="143"/>
      <c r="F20" s="136"/>
      <c r="G20" s="136"/>
      <c r="H20" s="136"/>
      <c r="I20" s="136"/>
      <c r="J20" s="314"/>
      <c r="K20" s="276"/>
      <c r="L20" s="277"/>
      <c r="M20" s="278" t="s">
        <v>318</v>
      </c>
      <c r="N20" s="315" t="s">
        <v>965</v>
      </c>
      <c r="O20" s="137" t="s">
        <v>966</v>
      </c>
      <c r="P20" s="137" t="s">
        <v>966</v>
      </c>
      <c r="Q20" s="334"/>
      <c r="R20" s="137" t="s">
        <v>966</v>
      </c>
      <c r="S20" s="334"/>
      <c r="T20" s="137" t="s">
        <v>966</v>
      </c>
      <c r="U20" s="348"/>
      <c r="V20" s="137" t="s">
        <v>966</v>
      </c>
      <c r="W20" s="348"/>
      <c r="X20" s="137" t="s">
        <v>966</v>
      </c>
      <c r="Y20" s="348"/>
      <c r="Z20" s="137" t="s">
        <v>966</v>
      </c>
      <c r="AA20" s="348"/>
      <c r="AB20" s="153"/>
      <c r="AC20" s="154"/>
      <c r="AD20" s="155"/>
      <c r="AE20" s="156"/>
      <c r="AF20" s="157"/>
      <c r="AG20" s="272"/>
    </row>
    <row r="21" spans="1:33" s="32" customFormat="1" ht="49.5" x14ac:dyDescent="0.35">
      <c r="A21" s="270"/>
      <c r="B21" s="316"/>
      <c r="C21" s="316"/>
      <c r="D21" s="275"/>
      <c r="E21" s="143"/>
      <c r="F21" s="136"/>
      <c r="G21" s="136"/>
      <c r="H21" s="136"/>
      <c r="I21" s="136"/>
      <c r="J21" s="314"/>
      <c r="K21" s="276"/>
      <c r="L21" s="277"/>
      <c r="M21" s="278" t="s">
        <v>331</v>
      </c>
      <c r="N21" s="315" t="s">
        <v>967</v>
      </c>
      <c r="O21" s="137" t="s">
        <v>968</v>
      </c>
      <c r="P21" s="137" t="s">
        <v>968</v>
      </c>
      <c r="Q21" s="334"/>
      <c r="R21" s="137" t="s">
        <v>968</v>
      </c>
      <c r="S21" s="334"/>
      <c r="T21" s="137" t="s">
        <v>968</v>
      </c>
      <c r="U21" s="348"/>
      <c r="V21" s="137" t="s">
        <v>968</v>
      </c>
      <c r="W21" s="348"/>
      <c r="X21" s="137" t="s">
        <v>968</v>
      </c>
      <c r="Y21" s="348"/>
      <c r="Z21" s="137" t="s">
        <v>968</v>
      </c>
      <c r="AA21" s="348"/>
      <c r="AB21" s="153"/>
      <c r="AC21" s="154"/>
      <c r="AD21" s="155"/>
      <c r="AE21" s="156"/>
      <c r="AF21" s="157"/>
      <c r="AG21" s="272"/>
    </row>
    <row r="22" spans="1:33" s="32" customFormat="1" ht="33" x14ac:dyDescent="0.35">
      <c r="A22" s="270"/>
      <c r="B22" s="316"/>
      <c r="C22" s="316"/>
      <c r="D22" s="275"/>
      <c r="E22" s="143"/>
      <c r="F22" s="136"/>
      <c r="G22" s="136"/>
      <c r="H22" s="136"/>
      <c r="I22" s="136"/>
      <c r="J22" s="314"/>
      <c r="K22" s="158"/>
      <c r="L22" s="159"/>
      <c r="M22" s="160" t="s">
        <v>353</v>
      </c>
      <c r="N22" s="315" t="s">
        <v>969</v>
      </c>
      <c r="O22" s="137" t="s">
        <v>970</v>
      </c>
      <c r="P22" s="137" t="s">
        <v>970</v>
      </c>
      <c r="Q22" s="334"/>
      <c r="R22" s="137" t="s">
        <v>970</v>
      </c>
      <c r="S22" s="334"/>
      <c r="T22" s="137" t="s">
        <v>970</v>
      </c>
      <c r="U22" s="178"/>
      <c r="V22" s="137" t="s">
        <v>970</v>
      </c>
      <c r="W22" s="178"/>
      <c r="X22" s="137" t="s">
        <v>970</v>
      </c>
      <c r="Y22" s="178"/>
      <c r="Z22" s="137" t="s">
        <v>970</v>
      </c>
      <c r="AA22" s="178"/>
      <c r="AB22" s="316"/>
      <c r="AC22" s="161"/>
      <c r="AD22" s="155"/>
      <c r="AE22" s="156"/>
      <c r="AF22" s="157"/>
      <c r="AG22" s="272"/>
    </row>
    <row r="23" spans="1:33" s="32" customFormat="1" ht="280.5" x14ac:dyDescent="0.35">
      <c r="A23" s="270"/>
      <c r="B23" s="316"/>
      <c r="C23" s="316"/>
      <c r="D23" s="275"/>
      <c r="E23" s="143"/>
      <c r="F23" s="136"/>
      <c r="G23" s="136"/>
      <c r="H23" s="136"/>
      <c r="I23" s="136"/>
      <c r="J23" s="314"/>
      <c r="K23" s="158"/>
      <c r="L23" s="159"/>
      <c r="M23" s="160" t="s">
        <v>352</v>
      </c>
      <c r="N23" s="315" t="s">
        <v>971</v>
      </c>
      <c r="O23" s="137" t="s">
        <v>972</v>
      </c>
      <c r="P23" s="137" t="s">
        <v>972</v>
      </c>
      <c r="Q23" s="334"/>
      <c r="R23" s="137" t="s">
        <v>972</v>
      </c>
      <c r="S23" s="334"/>
      <c r="T23" s="137" t="s">
        <v>972</v>
      </c>
      <c r="U23" s="178"/>
      <c r="V23" s="137" t="s">
        <v>972</v>
      </c>
      <c r="W23" s="178"/>
      <c r="X23" s="137" t="s">
        <v>972</v>
      </c>
      <c r="Y23" s="178"/>
      <c r="Z23" s="137" t="s">
        <v>972</v>
      </c>
      <c r="AA23" s="178"/>
      <c r="AB23" s="316"/>
      <c r="AC23" s="161"/>
      <c r="AD23" s="155"/>
      <c r="AE23" s="156"/>
      <c r="AF23" s="157"/>
      <c r="AG23" s="272"/>
    </row>
    <row r="24" spans="1:33" s="32" customFormat="1" ht="409.5" x14ac:dyDescent="0.35">
      <c r="A24" s="270"/>
      <c r="B24" s="316"/>
      <c r="C24" s="316"/>
      <c r="D24" s="275"/>
      <c r="E24" s="143"/>
      <c r="F24" s="136"/>
      <c r="G24" s="136"/>
      <c r="H24" s="136"/>
      <c r="I24" s="136"/>
      <c r="J24" s="314"/>
      <c r="K24" s="158"/>
      <c r="L24" s="159"/>
      <c r="M24" s="160" t="s">
        <v>402</v>
      </c>
      <c r="N24" s="315" t="s">
        <v>973</v>
      </c>
      <c r="O24" s="137" t="s">
        <v>974</v>
      </c>
      <c r="P24" s="137" t="s">
        <v>974</v>
      </c>
      <c r="Q24" s="334"/>
      <c r="R24" s="137" t="s">
        <v>974</v>
      </c>
      <c r="S24" s="334"/>
      <c r="T24" s="137" t="s">
        <v>974</v>
      </c>
      <c r="U24" s="178"/>
      <c r="V24" s="137" t="s">
        <v>974</v>
      </c>
      <c r="W24" s="178"/>
      <c r="X24" s="137" t="s">
        <v>974</v>
      </c>
      <c r="Y24" s="178"/>
      <c r="Z24" s="137" t="s">
        <v>974</v>
      </c>
      <c r="AA24" s="178"/>
      <c r="AB24" s="316"/>
      <c r="AC24" s="161"/>
      <c r="AD24" s="155"/>
      <c r="AE24" s="156"/>
      <c r="AF24" s="157"/>
      <c r="AG24" s="272"/>
    </row>
    <row r="25" spans="1:33" s="32" customFormat="1" ht="181.5" x14ac:dyDescent="0.35">
      <c r="A25" s="270"/>
      <c r="B25" s="316"/>
      <c r="C25" s="316"/>
      <c r="D25" s="275"/>
      <c r="E25" s="143"/>
      <c r="F25" s="136"/>
      <c r="G25" s="136"/>
      <c r="H25" s="136"/>
      <c r="I25" s="136"/>
      <c r="J25" s="314"/>
      <c r="K25" s="158"/>
      <c r="L25" s="159"/>
      <c r="M25" s="160" t="s">
        <v>453</v>
      </c>
      <c r="N25" s="315" t="s">
        <v>975</v>
      </c>
      <c r="O25" s="137" t="s">
        <v>976</v>
      </c>
      <c r="P25" s="137" t="s">
        <v>976</v>
      </c>
      <c r="Q25" s="334"/>
      <c r="R25" s="137" t="s">
        <v>976</v>
      </c>
      <c r="S25" s="334"/>
      <c r="T25" s="137" t="s">
        <v>976</v>
      </c>
      <c r="U25" s="178"/>
      <c r="V25" s="137" t="s">
        <v>976</v>
      </c>
      <c r="W25" s="178"/>
      <c r="X25" s="137" t="s">
        <v>976</v>
      </c>
      <c r="Y25" s="178"/>
      <c r="Z25" s="137" t="s">
        <v>976</v>
      </c>
      <c r="AA25" s="178"/>
      <c r="AB25" s="316"/>
      <c r="AC25" s="161"/>
      <c r="AD25" s="155"/>
      <c r="AE25" s="156"/>
      <c r="AF25" s="157"/>
      <c r="AG25" s="272"/>
    </row>
    <row r="26" spans="1:33" s="32" customFormat="1" ht="165" x14ac:dyDescent="0.35">
      <c r="A26" s="270"/>
      <c r="B26" s="316"/>
      <c r="C26" s="316"/>
      <c r="D26" s="275"/>
      <c r="E26" s="143"/>
      <c r="F26" s="136"/>
      <c r="G26" s="136"/>
      <c r="H26" s="136"/>
      <c r="I26" s="136"/>
      <c r="J26" s="314"/>
      <c r="K26" s="158"/>
      <c r="L26" s="159"/>
      <c r="M26" s="160" t="s">
        <v>454</v>
      </c>
      <c r="N26" s="315" t="s">
        <v>977</v>
      </c>
      <c r="O26" s="137" t="s">
        <v>978</v>
      </c>
      <c r="P26" s="137" t="s">
        <v>978</v>
      </c>
      <c r="Q26" s="334"/>
      <c r="R26" s="137" t="s">
        <v>978</v>
      </c>
      <c r="S26" s="334"/>
      <c r="T26" s="137" t="s">
        <v>978</v>
      </c>
      <c r="U26" s="178"/>
      <c r="V26" s="137" t="s">
        <v>978</v>
      </c>
      <c r="W26" s="178"/>
      <c r="X26" s="137" t="s">
        <v>978</v>
      </c>
      <c r="Y26" s="178"/>
      <c r="Z26" s="137" t="s">
        <v>978</v>
      </c>
      <c r="AA26" s="178"/>
      <c r="AB26" s="316"/>
      <c r="AC26" s="161"/>
      <c r="AD26" s="155"/>
      <c r="AE26" s="156"/>
      <c r="AF26" s="157"/>
      <c r="AG26" s="272"/>
    </row>
    <row r="27" spans="1:33" s="32" customFormat="1" ht="231" x14ac:dyDescent="0.35">
      <c r="A27" s="270"/>
      <c r="B27" s="316"/>
      <c r="C27" s="316"/>
      <c r="D27" s="275"/>
      <c r="E27" s="143"/>
      <c r="F27" s="136"/>
      <c r="G27" s="136"/>
      <c r="H27" s="136"/>
      <c r="I27" s="136"/>
      <c r="J27" s="314"/>
      <c r="K27" s="158"/>
      <c r="L27" s="159"/>
      <c r="M27" s="160" t="s">
        <v>521</v>
      </c>
      <c r="N27" s="315" t="s">
        <v>979</v>
      </c>
      <c r="O27" s="137" t="s">
        <v>980</v>
      </c>
      <c r="P27" s="137" t="s">
        <v>980</v>
      </c>
      <c r="Q27" s="334"/>
      <c r="R27" s="137" t="s">
        <v>980</v>
      </c>
      <c r="S27" s="334"/>
      <c r="T27" s="137" t="s">
        <v>980</v>
      </c>
      <c r="U27" s="178"/>
      <c r="V27" s="137" t="s">
        <v>980</v>
      </c>
      <c r="W27" s="178"/>
      <c r="X27" s="137" t="s">
        <v>980</v>
      </c>
      <c r="Y27" s="178"/>
      <c r="Z27" s="137" t="s">
        <v>980</v>
      </c>
      <c r="AA27" s="178"/>
      <c r="AB27" s="316"/>
      <c r="AC27" s="161"/>
      <c r="AD27" s="155"/>
      <c r="AE27" s="156"/>
      <c r="AF27" s="157"/>
      <c r="AG27" s="272"/>
    </row>
    <row r="28" spans="1:33" s="32" customFormat="1" ht="313.5" x14ac:dyDescent="0.35">
      <c r="A28" s="270"/>
      <c r="B28" s="316"/>
      <c r="C28" s="316"/>
      <c r="D28" s="275"/>
      <c r="E28" s="143"/>
      <c r="F28" s="136"/>
      <c r="G28" s="136"/>
      <c r="H28" s="136"/>
      <c r="I28" s="136"/>
      <c r="J28" s="314"/>
      <c r="K28" s="158"/>
      <c r="L28" s="159"/>
      <c r="M28" s="160" t="s">
        <v>522</v>
      </c>
      <c r="N28" s="315" t="s">
        <v>981</v>
      </c>
      <c r="O28" s="137" t="s">
        <v>982</v>
      </c>
      <c r="P28" s="137" t="s">
        <v>982</v>
      </c>
      <c r="Q28" s="334"/>
      <c r="R28" s="137" t="s">
        <v>982</v>
      </c>
      <c r="S28" s="334"/>
      <c r="T28" s="137" t="s">
        <v>982</v>
      </c>
      <c r="U28" s="178"/>
      <c r="V28" s="137" t="s">
        <v>982</v>
      </c>
      <c r="W28" s="178"/>
      <c r="X28" s="137" t="s">
        <v>982</v>
      </c>
      <c r="Y28" s="178"/>
      <c r="Z28" s="137" t="s">
        <v>982</v>
      </c>
      <c r="AA28" s="178"/>
      <c r="AB28" s="316"/>
      <c r="AC28" s="161"/>
      <c r="AD28" s="155"/>
      <c r="AE28" s="156"/>
      <c r="AF28" s="157"/>
      <c r="AG28" s="272"/>
    </row>
    <row r="29" spans="1:33" s="32" customFormat="1" ht="148.5" x14ac:dyDescent="0.35">
      <c r="A29" s="270"/>
      <c r="B29" s="316"/>
      <c r="C29" s="316"/>
      <c r="D29" s="275"/>
      <c r="E29" s="143"/>
      <c r="F29" s="136"/>
      <c r="G29" s="136"/>
      <c r="H29" s="136"/>
      <c r="I29" s="136"/>
      <c r="J29" s="314"/>
      <c r="K29" s="158"/>
      <c r="L29" s="159"/>
      <c r="M29" s="160" t="s">
        <v>523</v>
      </c>
      <c r="N29" s="315" t="s">
        <v>983</v>
      </c>
      <c r="O29" s="137" t="s">
        <v>984</v>
      </c>
      <c r="P29" s="137" t="s">
        <v>984</v>
      </c>
      <c r="Q29" s="334"/>
      <c r="R29" s="137" t="s">
        <v>984</v>
      </c>
      <c r="S29" s="334"/>
      <c r="T29" s="137" t="s">
        <v>984</v>
      </c>
      <c r="U29" s="178"/>
      <c r="V29" s="137" t="s">
        <v>984</v>
      </c>
      <c r="W29" s="178"/>
      <c r="X29" s="137" t="s">
        <v>984</v>
      </c>
      <c r="Y29" s="178"/>
      <c r="Z29" s="137" t="s">
        <v>984</v>
      </c>
      <c r="AA29" s="178"/>
      <c r="AB29" s="316"/>
      <c r="AC29" s="161"/>
      <c r="AD29" s="155"/>
      <c r="AE29" s="156"/>
      <c r="AF29" s="157"/>
      <c r="AG29" s="272"/>
    </row>
    <row r="30" spans="1:33" s="32" customFormat="1" ht="297" x14ac:dyDescent="0.35">
      <c r="A30" s="270"/>
      <c r="B30" s="316"/>
      <c r="C30" s="316"/>
      <c r="D30" s="275"/>
      <c r="E30" s="143"/>
      <c r="F30" s="136"/>
      <c r="G30" s="136"/>
      <c r="H30" s="136"/>
      <c r="I30" s="136"/>
      <c r="J30" s="314"/>
      <c r="K30" s="158"/>
      <c r="L30" s="159"/>
      <c r="M30" s="160" t="s">
        <v>524</v>
      </c>
      <c r="N30" s="315" t="s">
        <v>985</v>
      </c>
      <c r="O30" s="137" t="s">
        <v>986</v>
      </c>
      <c r="P30" s="137" t="s">
        <v>986</v>
      </c>
      <c r="Q30" s="334"/>
      <c r="R30" s="137" t="s">
        <v>986</v>
      </c>
      <c r="S30" s="334"/>
      <c r="T30" s="137" t="s">
        <v>986</v>
      </c>
      <c r="U30" s="178"/>
      <c r="V30" s="137" t="s">
        <v>986</v>
      </c>
      <c r="W30" s="178"/>
      <c r="X30" s="137" t="s">
        <v>986</v>
      </c>
      <c r="Y30" s="178"/>
      <c r="Z30" s="137" t="s">
        <v>986</v>
      </c>
      <c r="AA30" s="178"/>
      <c r="AB30" s="316"/>
      <c r="AC30" s="161"/>
      <c r="AD30" s="155"/>
      <c r="AE30" s="156"/>
      <c r="AF30" s="157"/>
      <c r="AG30" s="272"/>
    </row>
    <row r="31" spans="1:33" s="32" customFormat="1" ht="66" x14ac:dyDescent="0.35">
      <c r="A31" s="270"/>
      <c r="B31" s="316"/>
      <c r="C31" s="316"/>
      <c r="D31" s="275"/>
      <c r="E31" s="143"/>
      <c r="F31" s="136"/>
      <c r="G31" s="136"/>
      <c r="H31" s="136"/>
      <c r="I31" s="136"/>
      <c r="J31" s="314"/>
      <c r="K31" s="158"/>
      <c r="L31" s="159"/>
      <c r="M31" s="160" t="s">
        <v>563</v>
      </c>
      <c r="N31" s="315" t="s">
        <v>987</v>
      </c>
      <c r="O31" s="137" t="s">
        <v>988</v>
      </c>
      <c r="P31" s="137" t="s">
        <v>988</v>
      </c>
      <c r="Q31" s="334"/>
      <c r="R31" s="137" t="s">
        <v>988</v>
      </c>
      <c r="S31" s="334"/>
      <c r="T31" s="137" t="s">
        <v>988</v>
      </c>
      <c r="U31" s="178"/>
      <c r="V31" s="137" t="s">
        <v>988</v>
      </c>
      <c r="W31" s="178"/>
      <c r="X31" s="137" t="s">
        <v>988</v>
      </c>
      <c r="Y31" s="178"/>
      <c r="Z31" s="137" t="s">
        <v>988</v>
      </c>
      <c r="AA31" s="178"/>
      <c r="AB31" s="316"/>
      <c r="AC31" s="161"/>
      <c r="AD31" s="155"/>
      <c r="AE31" s="156"/>
      <c r="AF31" s="157"/>
      <c r="AG31" s="272"/>
    </row>
    <row r="32" spans="1:33" s="32" customFormat="1" ht="69" x14ac:dyDescent="0.35">
      <c r="A32" s="270"/>
      <c r="B32" s="316"/>
      <c r="C32" s="316"/>
      <c r="D32" s="275"/>
      <c r="E32" s="143"/>
      <c r="F32" s="136"/>
      <c r="G32" s="136"/>
      <c r="H32" s="136"/>
      <c r="I32" s="136"/>
      <c r="J32" s="314"/>
      <c r="K32" s="158"/>
      <c r="L32" s="159"/>
      <c r="M32" s="160" t="s">
        <v>564</v>
      </c>
      <c r="N32" s="315" t="s">
        <v>1009</v>
      </c>
      <c r="O32" s="137" t="s">
        <v>989</v>
      </c>
      <c r="P32" s="137" t="s">
        <v>989</v>
      </c>
      <c r="Q32" s="334"/>
      <c r="R32" s="137" t="s">
        <v>989</v>
      </c>
      <c r="S32" s="334"/>
      <c r="T32" s="137" t="s">
        <v>989</v>
      </c>
      <c r="U32" s="178"/>
      <c r="V32" s="137" t="s">
        <v>989</v>
      </c>
      <c r="W32" s="178"/>
      <c r="X32" s="137" t="s">
        <v>989</v>
      </c>
      <c r="Y32" s="178"/>
      <c r="Z32" s="137" t="s">
        <v>989</v>
      </c>
      <c r="AA32" s="178"/>
      <c r="AB32" s="316"/>
      <c r="AC32" s="162"/>
      <c r="AD32" s="163"/>
      <c r="AE32" s="164"/>
      <c r="AF32" s="165"/>
      <c r="AG32" s="272"/>
    </row>
    <row r="33" spans="1:33" s="32" customFormat="1" ht="49.5" x14ac:dyDescent="0.35">
      <c r="A33" s="270"/>
      <c r="B33" s="316"/>
      <c r="C33" s="316"/>
      <c r="D33" s="275"/>
      <c r="E33" s="143"/>
      <c r="F33" s="136"/>
      <c r="G33" s="136"/>
      <c r="H33" s="136"/>
      <c r="I33" s="136"/>
      <c r="J33" s="314"/>
      <c r="K33" s="158"/>
      <c r="L33" s="159"/>
      <c r="M33" s="160" t="s">
        <v>565</v>
      </c>
      <c r="N33" s="315" t="s">
        <v>990</v>
      </c>
      <c r="O33" s="137" t="s">
        <v>991</v>
      </c>
      <c r="P33" s="137" t="s">
        <v>991</v>
      </c>
      <c r="Q33" s="334"/>
      <c r="R33" s="137" t="s">
        <v>991</v>
      </c>
      <c r="S33" s="334"/>
      <c r="T33" s="137" t="s">
        <v>991</v>
      </c>
      <c r="U33" s="178"/>
      <c r="V33" s="137" t="s">
        <v>991</v>
      </c>
      <c r="W33" s="178"/>
      <c r="X33" s="137" t="s">
        <v>991</v>
      </c>
      <c r="Y33" s="178"/>
      <c r="Z33" s="137" t="s">
        <v>991</v>
      </c>
      <c r="AA33" s="178"/>
      <c r="AB33" s="316"/>
      <c r="AC33" s="162"/>
      <c r="AD33" s="163"/>
      <c r="AE33" s="164"/>
      <c r="AF33" s="165"/>
      <c r="AG33" s="272"/>
    </row>
    <row r="34" spans="1:33" s="32" customFormat="1" ht="66" x14ac:dyDescent="0.35">
      <c r="A34" s="270"/>
      <c r="B34" s="316"/>
      <c r="C34" s="316"/>
      <c r="D34" s="275"/>
      <c r="E34" s="143"/>
      <c r="F34" s="136"/>
      <c r="G34" s="136"/>
      <c r="H34" s="136"/>
      <c r="I34" s="136"/>
      <c r="J34" s="314"/>
      <c r="K34" s="158"/>
      <c r="L34" s="159"/>
      <c r="M34" s="160" t="s">
        <v>566</v>
      </c>
      <c r="N34" s="315" t="s">
        <v>992</v>
      </c>
      <c r="O34" s="137" t="s">
        <v>993</v>
      </c>
      <c r="P34" s="137" t="s">
        <v>993</v>
      </c>
      <c r="Q34" s="334"/>
      <c r="R34" s="137" t="s">
        <v>993</v>
      </c>
      <c r="S34" s="334"/>
      <c r="T34" s="137" t="s">
        <v>993</v>
      </c>
      <c r="U34" s="178"/>
      <c r="V34" s="137" t="s">
        <v>993</v>
      </c>
      <c r="W34" s="178"/>
      <c r="X34" s="137" t="s">
        <v>993</v>
      </c>
      <c r="Y34" s="178"/>
      <c r="Z34" s="137" t="s">
        <v>993</v>
      </c>
      <c r="AA34" s="178"/>
      <c r="AB34" s="316"/>
      <c r="AC34" s="162"/>
      <c r="AD34" s="163"/>
      <c r="AE34" s="164"/>
      <c r="AF34" s="165"/>
      <c r="AG34" s="272"/>
    </row>
    <row r="35" spans="1:33" s="32" customFormat="1" ht="33" x14ac:dyDescent="0.35">
      <c r="A35" s="270"/>
      <c r="B35" s="316"/>
      <c r="C35" s="316"/>
      <c r="D35" s="275"/>
      <c r="E35" s="143"/>
      <c r="F35" s="136"/>
      <c r="G35" s="136"/>
      <c r="H35" s="136"/>
      <c r="I35" s="136"/>
      <c r="J35" s="314"/>
      <c r="K35" s="276" t="s">
        <v>294</v>
      </c>
      <c r="L35" s="277" t="s">
        <v>291</v>
      </c>
      <c r="M35" s="278" t="s">
        <v>299</v>
      </c>
      <c r="N35" s="315" t="s">
        <v>994</v>
      </c>
      <c r="O35" s="166">
        <v>1</v>
      </c>
      <c r="P35" s="166">
        <v>1</v>
      </c>
      <c r="Q35" s="334"/>
      <c r="R35" s="166">
        <v>1</v>
      </c>
      <c r="S35" s="334"/>
      <c r="T35" s="166">
        <v>1</v>
      </c>
      <c r="U35" s="178"/>
      <c r="V35" s="166">
        <v>1</v>
      </c>
      <c r="W35" s="178"/>
      <c r="X35" s="166">
        <v>1</v>
      </c>
      <c r="Y35" s="178"/>
      <c r="Z35" s="166">
        <v>1</v>
      </c>
      <c r="AA35" s="178"/>
      <c r="AB35" s="316"/>
      <c r="AC35" s="162"/>
      <c r="AD35" s="163"/>
      <c r="AE35" s="164"/>
      <c r="AF35" s="165"/>
      <c r="AG35" s="272"/>
    </row>
    <row r="36" spans="1:33" s="32" customFormat="1" ht="33" x14ac:dyDescent="0.35">
      <c r="A36" s="270"/>
      <c r="B36" s="316"/>
      <c r="C36" s="316"/>
      <c r="D36" s="275"/>
      <c r="E36" s="143"/>
      <c r="F36" s="136"/>
      <c r="G36" s="136"/>
      <c r="H36" s="136"/>
      <c r="I36" s="136"/>
      <c r="J36" s="314"/>
      <c r="K36" s="276"/>
      <c r="L36" s="277"/>
      <c r="M36" s="278" t="s">
        <v>303</v>
      </c>
      <c r="N36" s="315" t="s">
        <v>995</v>
      </c>
      <c r="O36" s="166">
        <v>1</v>
      </c>
      <c r="P36" s="166">
        <v>1</v>
      </c>
      <c r="Q36" s="334"/>
      <c r="R36" s="166">
        <v>1</v>
      </c>
      <c r="S36" s="334"/>
      <c r="T36" s="166">
        <v>1</v>
      </c>
      <c r="U36" s="178"/>
      <c r="V36" s="166">
        <v>1</v>
      </c>
      <c r="W36" s="178"/>
      <c r="X36" s="166">
        <v>1</v>
      </c>
      <c r="Y36" s="178"/>
      <c r="Z36" s="166">
        <v>1</v>
      </c>
      <c r="AA36" s="178"/>
      <c r="AB36" s="316"/>
      <c r="AC36" s="162"/>
      <c r="AD36" s="163"/>
      <c r="AE36" s="164"/>
      <c r="AF36" s="165"/>
      <c r="AG36" s="272"/>
    </row>
    <row r="37" spans="1:33" s="32" customFormat="1" ht="33" x14ac:dyDescent="0.35">
      <c r="A37" s="270"/>
      <c r="B37" s="316"/>
      <c r="C37" s="316"/>
      <c r="D37" s="275"/>
      <c r="E37" s="143"/>
      <c r="F37" s="136"/>
      <c r="G37" s="136"/>
      <c r="H37" s="136"/>
      <c r="I37" s="136"/>
      <c r="J37" s="314"/>
      <c r="K37" s="276"/>
      <c r="L37" s="277"/>
      <c r="M37" s="278" t="s">
        <v>318</v>
      </c>
      <c r="N37" s="315" t="s">
        <v>995</v>
      </c>
      <c r="O37" s="166">
        <v>1</v>
      </c>
      <c r="P37" s="166">
        <v>1</v>
      </c>
      <c r="Q37" s="334"/>
      <c r="R37" s="166">
        <v>1</v>
      </c>
      <c r="S37" s="334"/>
      <c r="T37" s="166">
        <v>1</v>
      </c>
      <c r="U37" s="178"/>
      <c r="V37" s="166">
        <v>1</v>
      </c>
      <c r="W37" s="178"/>
      <c r="X37" s="166">
        <v>1</v>
      </c>
      <c r="Y37" s="178"/>
      <c r="Z37" s="166">
        <v>1</v>
      </c>
      <c r="AA37" s="178"/>
      <c r="AB37" s="316"/>
      <c r="AC37" s="162"/>
      <c r="AD37" s="163"/>
      <c r="AE37" s="164"/>
      <c r="AF37" s="165"/>
      <c r="AG37" s="272"/>
    </row>
    <row r="38" spans="1:33" s="32" customFormat="1" ht="33" x14ac:dyDescent="0.35">
      <c r="A38" s="270"/>
      <c r="B38" s="316"/>
      <c r="C38" s="316"/>
      <c r="D38" s="275"/>
      <c r="E38" s="143"/>
      <c r="F38" s="136"/>
      <c r="G38" s="136"/>
      <c r="H38" s="136"/>
      <c r="I38" s="136"/>
      <c r="J38" s="314"/>
      <c r="K38" s="276"/>
      <c r="L38" s="277"/>
      <c r="M38" s="278" t="s">
        <v>331</v>
      </c>
      <c r="N38" s="315" t="s">
        <v>996</v>
      </c>
      <c r="O38" s="166">
        <v>1</v>
      </c>
      <c r="P38" s="166">
        <v>1</v>
      </c>
      <c r="Q38" s="334"/>
      <c r="R38" s="166">
        <v>1</v>
      </c>
      <c r="S38" s="334"/>
      <c r="T38" s="166">
        <v>1</v>
      </c>
      <c r="U38" s="178"/>
      <c r="V38" s="166">
        <v>1</v>
      </c>
      <c r="W38" s="178"/>
      <c r="X38" s="166">
        <v>1</v>
      </c>
      <c r="Y38" s="178"/>
      <c r="Z38" s="166">
        <v>1</v>
      </c>
      <c r="AA38" s="178"/>
      <c r="AB38" s="316"/>
      <c r="AC38" s="162"/>
      <c r="AD38" s="163"/>
      <c r="AE38" s="164"/>
      <c r="AF38" s="165"/>
      <c r="AG38" s="272"/>
    </row>
    <row r="39" spans="1:33" s="32" customFormat="1" ht="49.5" x14ac:dyDescent="0.35">
      <c r="A39" s="270"/>
      <c r="B39" s="316"/>
      <c r="C39" s="316"/>
      <c r="D39" s="275"/>
      <c r="E39" s="143"/>
      <c r="F39" s="136"/>
      <c r="G39" s="136"/>
      <c r="H39" s="136"/>
      <c r="I39" s="136"/>
      <c r="J39" s="314"/>
      <c r="K39" s="276"/>
      <c r="L39" s="277"/>
      <c r="M39" s="160" t="s">
        <v>353</v>
      </c>
      <c r="N39" s="315" t="s">
        <v>997</v>
      </c>
      <c r="O39" s="166">
        <v>1</v>
      </c>
      <c r="P39" s="166">
        <v>1</v>
      </c>
      <c r="Q39" s="334"/>
      <c r="R39" s="166">
        <v>1</v>
      </c>
      <c r="S39" s="334"/>
      <c r="T39" s="166">
        <v>1</v>
      </c>
      <c r="U39" s="178"/>
      <c r="V39" s="166">
        <v>1</v>
      </c>
      <c r="W39" s="178"/>
      <c r="X39" s="166">
        <v>1</v>
      </c>
      <c r="Y39" s="178"/>
      <c r="Z39" s="166">
        <v>1</v>
      </c>
      <c r="AA39" s="178"/>
      <c r="AB39" s="316"/>
      <c r="AC39" s="162"/>
      <c r="AD39" s="163"/>
      <c r="AE39" s="164"/>
      <c r="AF39" s="165"/>
      <c r="AG39" s="272"/>
    </row>
    <row r="40" spans="1:33" s="32" customFormat="1" ht="33" x14ac:dyDescent="0.35">
      <c r="A40" s="270"/>
      <c r="B40" s="316"/>
      <c r="C40" s="316"/>
      <c r="D40" s="275"/>
      <c r="E40" s="143"/>
      <c r="F40" s="136"/>
      <c r="G40" s="136"/>
      <c r="H40" s="136"/>
      <c r="I40" s="136"/>
      <c r="J40" s="314"/>
      <c r="K40" s="276"/>
      <c r="L40" s="277"/>
      <c r="M40" s="160" t="s">
        <v>352</v>
      </c>
      <c r="N40" s="315" t="s">
        <v>998</v>
      </c>
      <c r="O40" s="166">
        <v>1</v>
      </c>
      <c r="P40" s="166">
        <v>1</v>
      </c>
      <c r="Q40" s="334"/>
      <c r="R40" s="166">
        <v>1</v>
      </c>
      <c r="S40" s="334"/>
      <c r="T40" s="166">
        <v>1</v>
      </c>
      <c r="U40" s="178"/>
      <c r="V40" s="166">
        <v>1</v>
      </c>
      <c r="W40" s="178"/>
      <c r="X40" s="166">
        <v>1</v>
      </c>
      <c r="Y40" s="178"/>
      <c r="Z40" s="166">
        <v>1</v>
      </c>
      <c r="AA40" s="178"/>
      <c r="AB40" s="316"/>
      <c r="AC40" s="162"/>
      <c r="AD40" s="163"/>
      <c r="AE40" s="164"/>
      <c r="AF40" s="165"/>
      <c r="AG40" s="272"/>
    </row>
    <row r="41" spans="1:33" s="32" customFormat="1" ht="33" x14ac:dyDescent="0.35">
      <c r="A41" s="270"/>
      <c r="B41" s="316"/>
      <c r="C41" s="316"/>
      <c r="D41" s="275"/>
      <c r="E41" s="143"/>
      <c r="F41" s="136"/>
      <c r="G41" s="136"/>
      <c r="H41" s="136"/>
      <c r="I41" s="136"/>
      <c r="J41" s="314"/>
      <c r="K41" s="276"/>
      <c r="L41" s="277"/>
      <c r="M41" s="160" t="s">
        <v>402</v>
      </c>
      <c r="N41" s="315" t="s">
        <v>999</v>
      </c>
      <c r="O41" s="166">
        <v>1</v>
      </c>
      <c r="P41" s="166">
        <v>1</v>
      </c>
      <c r="Q41" s="334"/>
      <c r="R41" s="166">
        <v>1</v>
      </c>
      <c r="S41" s="334"/>
      <c r="T41" s="166">
        <v>1</v>
      </c>
      <c r="U41" s="178"/>
      <c r="V41" s="166">
        <v>1</v>
      </c>
      <c r="W41" s="178"/>
      <c r="X41" s="166">
        <v>1</v>
      </c>
      <c r="Y41" s="178"/>
      <c r="Z41" s="166">
        <v>1</v>
      </c>
      <c r="AA41" s="178"/>
      <c r="AB41" s="316"/>
      <c r="AC41" s="162"/>
      <c r="AD41" s="163"/>
      <c r="AE41" s="164"/>
      <c r="AF41" s="165"/>
      <c r="AG41" s="272"/>
    </row>
    <row r="42" spans="1:33" s="32" customFormat="1" ht="66" x14ac:dyDescent="0.35">
      <c r="A42" s="270"/>
      <c r="B42" s="316"/>
      <c r="C42" s="316"/>
      <c r="D42" s="275"/>
      <c r="E42" s="143"/>
      <c r="F42" s="136"/>
      <c r="G42" s="136"/>
      <c r="H42" s="136"/>
      <c r="I42" s="136"/>
      <c r="J42" s="314"/>
      <c r="K42" s="276"/>
      <c r="L42" s="277"/>
      <c r="M42" s="160" t="s">
        <v>453</v>
      </c>
      <c r="N42" s="315" t="s">
        <v>1000</v>
      </c>
      <c r="O42" s="166">
        <v>1</v>
      </c>
      <c r="P42" s="166">
        <v>1</v>
      </c>
      <c r="Q42" s="334"/>
      <c r="R42" s="166">
        <v>1</v>
      </c>
      <c r="S42" s="334"/>
      <c r="T42" s="166">
        <v>1</v>
      </c>
      <c r="U42" s="178"/>
      <c r="V42" s="166">
        <v>1</v>
      </c>
      <c r="W42" s="178"/>
      <c r="X42" s="166">
        <v>1</v>
      </c>
      <c r="Y42" s="178"/>
      <c r="Z42" s="166">
        <v>1</v>
      </c>
      <c r="AA42" s="178"/>
      <c r="AB42" s="316"/>
      <c r="AC42" s="162"/>
      <c r="AD42" s="163"/>
      <c r="AE42" s="164"/>
      <c r="AF42" s="165"/>
      <c r="AG42" s="272"/>
    </row>
    <row r="43" spans="1:33" s="32" customFormat="1" ht="49.5" x14ac:dyDescent="0.35">
      <c r="A43" s="270"/>
      <c r="B43" s="316"/>
      <c r="C43" s="316"/>
      <c r="D43" s="275"/>
      <c r="E43" s="143"/>
      <c r="F43" s="136"/>
      <c r="G43" s="136"/>
      <c r="H43" s="136"/>
      <c r="I43" s="136"/>
      <c r="J43" s="314"/>
      <c r="K43" s="276"/>
      <c r="L43" s="277"/>
      <c r="M43" s="160" t="s">
        <v>454</v>
      </c>
      <c r="N43" s="315" t="s">
        <v>1001</v>
      </c>
      <c r="O43" s="166">
        <v>1</v>
      </c>
      <c r="P43" s="166">
        <v>1</v>
      </c>
      <c r="Q43" s="334"/>
      <c r="R43" s="166">
        <v>1</v>
      </c>
      <c r="S43" s="334"/>
      <c r="T43" s="166">
        <v>1</v>
      </c>
      <c r="U43" s="178"/>
      <c r="V43" s="166">
        <v>1</v>
      </c>
      <c r="W43" s="178"/>
      <c r="X43" s="166">
        <v>1</v>
      </c>
      <c r="Y43" s="178"/>
      <c r="Z43" s="166">
        <v>1</v>
      </c>
      <c r="AA43" s="178"/>
      <c r="AB43" s="316"/>
      <c r="AC43" s="162"/>
      <c r="AD43" s="163"/>
      <c r="AE43" s="164"/>
      <c r="AF43" s="165"/>
      <c r="AG43" s="272"/>
    </row>
    <row r="44" spans="1:33" s="32" customFormat="1" ht="49.5" x14ac:dyDescent="0.35">
      <c r="A44" s="270"/>
      <c r="B44" s="316"/>
      <c r="C44" s="316"/>
      <c r="D44" s="275"/>
      <c r="E44" s="143"/>
      <c r="F44" s="136"/>
      <c r="G44" s="136"/>
      <c r="H44" s="136"/>
      <c r="I44" s="136"/>
      <c r="J44" s="314"/>
      <c r="K44" s="276"/>
      <c r="L44" s="277"/>
      <c r="M44" s="160" t="s">
        <v>521</v>
      </c>
      <c r="N44" s="315" t="s">
        <v>1002</v>
      </c>
      <c r="O44" s="166">
        <v>1</v>
      </c>
      <c r="P44" s="166">
        <v>1</v>
      </c>
      <c r="Q44" s="334"/>
      <c r="R44" s="166">
        <v>1</v>
      </c>
      <c r="S44" s="334"/>
      <c r="T44" s="166">
        <v>1</v>
      </c>
      <c r="U44" s="178"/>
      <c r="V44" s="166">
        <v>1</v>
      </c>
      <c r="W44" s="178"/>
      <c r="X44" s="166">
        <v>1</v>
      </c>
      <c r="Y44" s="178"/>
      <c r="Z44" s="166">
        <v>1</v>
      </c>
      <c r="AA44" s="178"/>
      <c r="AB44" s="316"/>
      <c r="AC44" s="162"/>
      <c r="AD44" s="163"/>
      <c r="AE44" s="164"/>
      <c r="AF44" s="165"/>
      <c r="AG44" s="272"/>
    </row>
    <row r="45" spans="1:33" s="32" customFormat="1" ht="66" x14ac:dyDescent="0.35">
      <c r="A45" s="270"/>
      <c r="B45" s="316"/>
      <c r="C45" s="316"/>
      <c r="D45" s="275"/>
      <c r="E45" s="143"/>
      <c r="F45" s="136"/>
      <c r="G45" s="136"/>
      <c r="H45" s="136"/>
      <c r="I45" s="136"/>
      <c r="J45" s="314"/>
      <c r="K45" s="276"/>
      <c r="L45" s="277"/>
      <c r="M45" s="160" t="s">
        <v>522</v>
      </c>
      <c r="N45" s="315" t="s">
        <v>1003</v>
      </c>
      <c r="O45" s="166">
        <v>1</v>
      </c>
      <c r="P45" s="166">
        <v>1</v>
      </c>
      <c r="Q45" s="334"/>
      <c r="R45" s="166">
        <v>1</v>
      </c>
      <c r="S45" s="334"/>
      <c r="T45" s="166">
        <v>1</v>
      </c>
      <c r="U45" s="178"/>
      <c r="V45" s="166">
        <v>1</v>
      </c>
      <c r="W45" s="178"/>
      <c r="X45" s="166">
        <v>1</v>
      </c>
      <c r="Y45" s="178"/>
      <c r="Z45" s="166">
        <v>1</v>
      </c>
      <c r="AA45" s="178"/>
      <c r="AB45" s="316"/>
      <c r="AC45" s="162"/>
      <c r="AD45" s="163"/>
      <c r="AE45" s="164"/>
      <c r="AF45" s="165"/>
      <c r="AG45" s="272"/>
    </row>
    <row r="46" spans="1:33" s="32" customFormat="1" ht="66" x14ac:dyDescent="0.35">
      <c r="A46" s="270"/>
      <c r="B46" s="316"/>
      <c r="C46" s="316"/>
      <c r="D46" s="275"/>
      <c r="E46" s="143"/>
      <c r="F46" s="136"/>
      <c r="G46" s="136"/>
      <c r="H46" s="136"/>
      <c r="I46" s="136"/>
      <c r="J46" s="314"/>
      <c r="K46" s="276"/>
      <c r="L46" s="277"/>
      <c r="M46" s="160" t="s">
        <v>523</v>
      </c>
      <c r="N46" s="315" t="s">
        <v>1004</v>
      </c>
      <c r="O46" s="166">
        <v>1</v>
      </c>
      <c r="P46" s="166">
        <v>1</v>
      </c>
      <c r="Q46" s="334"/>
      <c r="R46" s="166">
        <v>1</v>
      </c>
      <c r="S46" s="334"/>
      <c r="T46" s="166">
        <v>1</v>
      </c>
      <c r="U46" s="178"/>
      <c r="V46" s="166">
        <v>1</v>
      </c>
      <c r="W46" s="178"/>
      <c r="X46" s="166">
        <v>1</v>
      </c>
      <c r="Y46" s="178"/>
      <c r="Z46" s="166">
        <v>1</v>
      </c>
      <c r="AA46" s="178"/>
      <c r="AB46" s="316"/>
      <c r="AC46" s="162"/>
      <c r="AD46" s="163"/>
      <c r="AE46" s="164"/>
      <c r="AF46" s="165"/>
      <c r="AG46" s="272"/>
    </row>
    <row r="47" spans="1:33" s="32" customFormat="1" ht="49.5" x14ac:dyDescent="0.35">
      <c r="A47" s="270"/>
      <c r="B47" s="316"/>
      <c r="C47" s="316"/>
      <c r="D47" s="275"/>
      <c r="E47" s="143"/>
      <c r="F47" s="136"/>
      <c r="G47" s="136"/>
      <c r="H47" s="136"/>
      <c r="I47" s="136"/>
      <c r="J47" s="314"/>
      <c r="K47" s="276"/>
      <c r="L47" s="277"/>
      <c r="M47" s="160" t="s">
        <v>524</v>
      </c>
      <c r="N47" s="315" t="s">
        <v>1005</v>
      </c>
      <c r="O47" s="166">
        <v>1</v>
      </c>
      <c r="P47" s="166">
        <v>1</v>
      </c>
      <c r="Q47" s="334"/>
      <c r="R47" s="166">
        <v>1</v>
      </c>
      <c r="S47" s="334"/>
      <c r="T47" s="166">
        <v>1</v>
      </c>
      <c r="U47" s="178"/>
      <c r="V47" s="166">
        <v>1</v>
      </c>
      <c r="W47" s="178"/>
      <c r="X47" s="166">
        <v>1</v>
      </c>
      <c r="Y47" s="178"/>
      <c r="Z47" s="166">
        <v>1</v>
      </c>
      <c r="AA47" s="178"/>
      <c r="AB47" s="316"/>
      <c r="AC47" s="162"/>
      <c r="AD47" s="163"/>
      <c r="AE47" s="164"/>
      <c r="AF47" s="165"/>
      <c r="AG47" s="272"/>
    </row>
    <row r="48" spans="1:33" s="32" customFormat="1" ht="49.5" x14ac:dyDescent="0.35">
      <c r="A48" s="270"/>
      <c r="B48" s="316"/>
      <c r="C48" s="316"/>
      <c r="D48" s="275"/>
      <c r="E48" s="143"/>
      <c r="F48" s="136"/>
      <c r="G48" s="136"/>
      <c r="H48" s="136"/>
      <c r="I48" s="136"/>
      <c r="J48" s="314"/>
      <c r="K48" s="276"/>
      <c r="L48" s="277"/>
      <c r="M48" s="160" t="s">
        <v>563</v>
      </c>
      <c r="N48" s="315" t="s">
        <v>1006</v>
      </c>
      <c r="O48" s="166">
        <v>1</v>
      </c>
      <c r="P48" s="166">
        <v>1</v>
      </c>
      <c r="Q48" s="334"/>
      <c r="R48" s="166">
        <v>1</v>
      </c>
      <c r="S48" s="334"/>
      <c r="T48" s="166">
        <v>1</v>
      </c>
      <c r="U48" s="178"/>
      <c r="V48" s="166">
        <v>1</v>
      </c>
      <c r="W48" s="178"/>
      <c r="X48" s="166">
        <v>1</v>
      </c>
      <c r="Y48" s="178"/>
      <c r="Z48" s="166">
        <v>1</v>
      </c>
      <c r="AA48" s="178"/>
      <c r="AB48" s="316"/>
      <c r="AC48" s="162"/>
      <c r="AD48" s="163"/>
      <c r="AE48" s="164"/>
      <c r="AF48" s="165"/>
      <c r="AG48" s="272"/>
    </row>
    <row r="49" spans="1:33" s="32" customFormat="1" ht="49.5" x14ac:dyDescent="0.35">
      <c r="A49" s="270"/>
      <c r="B49" s="316"/>
      <c r="C49" s="316"/>
      <c r="D49" s="275"/>
      <c r="E49" s="143"/>
      <c r="F49" s="136"/>
      <c r="G49" s="136"/>
      <c r="H49" s="136"/>
      <c r="I49" s="136"/>
      <c r="J49" s="314"/>
      <c r="K49" s="276"/>
      <c r="L49" s="277"/>
      <c r="M49" s="160" t="s">
        <v>564</v>
      </c>
      <c r="N49" s="315" t="s">
        <v>1006</v>
      </c>
      <c r="O49" s="166">
        <v>1</v>
      </c>
      <c r="P49" s="166">
        <v>1</v>
      </c>
      <c r="Q49" s="334"/>
      <c r="R49" s="166">
        <v>1</v>
      </c>
      <c r="S49" s="334"/>
      <c r="T49" s="166">
        <v>1</v>
      </c>
      <c r="U49" s="178"/>
      <c r="V49" s="166">
        <v>1</v>
      </c>
      <c r="W49" s="178"/>
      <c r="X49" s="166">
        <v>1</v>
      </c>
      <c r="Y49" s="178"/>
      <c r="Z49" s="166">
        <v>1</v>
      </c>
      <c r="AA49" s="178"/>
      <c r="AB49" s="316"/>
      <c r="AC49" s="162"/>
      <c r="AD49" s="163"/>
      <c r="AE49" s="164"/>
      <c r="AF49" s="165"/>
      <c r="AG49" s="272"/>
    </row>
    <row r="50" spans="1:33" s="32" customFormat="1" ht="49.5" x14ac:dyDescent="0.35">
      <c r="A50" s="270"/>
      <c r="B50" s="316"/>
      <c r="C50" s="316"/>
      <c r="D50" s="275"/>
      <c r="E50" s="143"/>
      <c r="F50" s="136"/>
      <c r="G50" s="136"/>
      <c r="H50" s="136"/>
      <c r="I50" s="136"/>
      <c r="J50" s="314"/>
      <c r="K50" s="276"/>
      <c r="L50" s="277"/>
      <c r="M50" s="160" t="s">
        <v>565</v>
      </c>
      <c r="N50" s="315" t="s">
        <v>1007</v>
      </c>
      <c r="O50" s="166">
        <v>1</v>
      </c>
      <c r="P50" s="166">
        <v>1</v>
      </c>
      <c r="Q50" s="334"/>
      <c r="R50" s="166">
        <v>1</v>
      </c>
      <c r="S50" s="334"/>
      <c r="T50" s="166">
        <v>1</v>
      </c>
      <c r="U50" s="178"/>
      <c r="V50" s="166">
        <v>1</v>
      </c>
      <c r="W50" s="178"/>
      <c r="X50" s="166">
        <v>1</v>
      </c>
      <c r="Y50" s="178"/>
      <c r="Z50" s="166">
        <v>1</v>
      </c>
      <c r="AA50" s="178"/>
      <c r="AB50" s="316"/>
      <c r="AC50" s="162"/>
      <c r="AD50" s="163"/>
      <c r="AE50" s="164"/>
      <c r="AF50" s="165"/>
      <c r="AG50" s="272"/>
    </row>
    <row r="51" spans="1:33" s="32" customFormat="1" ht="49.5" x14ac:dyDescent="0.35">
      <c r="A51" s="270"/>
      <c r="B51" s="316"/>
      <c r="C51" s="316"/>
      <c r="D51" s="275"/>
      <c r="E51" s="143"/>
      <c r="F51" s="136"/>
      <c r="G51" s="136"/>
      <c r="H51" s="136"/>
      <c r="I51" s="136"/>
      <c r="J51" s="314"/>
      <c r="K51" s="276"/>
      <c r="L51" s="277"/>
      <c r="M51" s="160" t="s">
        <v>566</v>
      </c>
      <c r="N51" s="315" t="s">
        <v>1008</v>
      </c>
      <c r="O51" s="166">
        <v>1</v>
      </c>
      <c r="P51" s="166">
        <v>1</v>
      </c>
      <c r="Q51" s="334"/>
      <c r="R51" s="166">
        <v>1</v>
      </c>
      <c r="S51" s="334"/>
      <c r="T51" s="166">
        <v>1</v>
      </c>
      <c r="U51" s="178"/>
      <c r="V51" s="166">
        <v>1</v>
      </c>
      <c r="W51" s="178"/>
      <c r="X51" s="166">
        <v>1</v>
      </c>
      <c r="Y51" s="178"/>
      <c r="Z51" s="166">
        <v>1</v>
      </c>
      <c r="AA51" s="178"/>
      <c r="AB51" s="316"/>
      <c r="AC51" s="162"/>
      <c r="AD51" s="163"/>
      <c r="AE51" s="164"/>
      <c r="AF51" s="165"/>
      <c r="AG51" s="272"/>
    </row>
    <row r="52" spans="1:33" s="58" customFormat="1" ht="18" x14ac:dyDescent="0.35">
      <c r="A52" s="279"/>
      <c r="B52" s="316"/>
      <c r="C52" s="316"/>
      <c r="D52" s="280"/>
      <c r="E52" s="143"/>
      <c r="F52" s="136"/>
      <c r="G52" s="136"/>
      <c r="H52" s="136"/>
      <c r="I52" s="136"/>
      <c r="J52" s="314"/>
      <c r="K52" s="276" t="s">
        <v>295</v>
      </c>
      <c r="L52" s="277" t="s">
        <v>291</v>
      </c>
      <c r="M52" s="509" t="s">
        <v>296</v>
      </c>
      <c r="N52" s="510"/>
      <c r="O52" s="137"/>
      <c r="P52" s="137"/>
      <c r="Q52" s="334"/>
      <c r="R52" s="137"/>
      <c r="S52" s="334"/>
      <c r="T52" s="137"/>
      <c r="U52" s="178"/>
      <c r="V52" s="137"/>
      <c r="W52" s="178"/>
      <c r="X52" s="137"/>
      <c r="Y52" s="178"/>
      <c r="Z52" s="137"/>
      <c r="AA52" s="178"/>
      <c r="AB52" s="316"/>
      <c r="AC52" s="161"/>
      <c r="AD52" s="155"/>
      <c r="AE52" s="156"/>
      <c r="AF52" s="157"/>
      <c r="AG52" s="281"/>
    </row>
    <row r="53" spans="1:33" s="58" customFormat="1" ht="18" x14ac:dyDescent="0.35">
      <c r="A53" s="279"/>
      <c r="B53" s="316"/>
      <c r="C53" s="316"/>
      <c r="D53" s="280"/>
      <c r="E53" s="143"/>
      <c r="F53" s="136"/>
      <c r="G53" s="136"/>
      <c r="H53" s="136"/>
      <c r="I53" s="136"/>
      <c r="J53" s="314"/>
      <c r="K53" s="276" t="s">
        <v>297</v>
      </c>
      <c r="L53" s="277" t="s">
        <v>291</v>
      </c>
      <c r="M53" s="509" t="s">
        <v>298</v>
      </c>
      <c r="N53" s="510"/>
      <c r="O53" s="316"/>
      <c r="P53" s="316"/>
      <c r="Q53" s="334"/>
      <c r="R53" s="316"/>
      <c r="S53" s="334"/>
      <c r="T53" s="316"/>
      <c r="U53" s="178"/>
      <c r="V53" s="316"/>
      <c r="W53" s="178"/>
      <c r="X53" s="316"/>
      <c r="Y53" s="178"/>
      <c r="Z53" s="316"/>
      <c r="AA53" s="178"/>
      <c r="AB53" s="316"/>
      <c r="AC53" s="162"/>
      <c r="AD53" s="163"/>
      <c r="AE53" s="164"/>
      <c r="AF53" s="165"/>
      <c r="AG53" s="281"/>
    </row>
    <row r="54" spans="1:33" s="32" customFormat="1" ht="18" x14ac:dyDescent="0.35">
      <c r="A54" s="270"/>
      <c r="B54" s="146"/>
      <c r="C54" s="146"/>
      <c r="D54" s="274"/>
      <c r="E54" s="167"/>
      <c r="F54" s="147"/>
      <c r="G54" s="147"/>
      <c r="H54" s="147"/>
      <c r="I54" s="147"/>
      <c r="J54" s="168"/>
      <c r="K54" s="169"/>
      <c r="L54" s="170"/>
      <c r="M54" s="170"/>
      <c r="N54" s="171"/>
      <c r="O54" s="148"/>
      <c r="P54" s="148"/>
      <c r="Q54" s="336"/>
      <c r="R54" s="148"/>
      <c r="S54" s="336"/>
      <c r="T54" s="148"/>
      <c r="U54" s="349"/>
      <c r="V54" s="148"/>
      <c r="W54" s="349"/>
      <c r="X54" s="148"/>
      <c r="Y54" s="349"/>
      <c r="Z54" s="148"/>
      <c r="AA54" s="349"/>
      <c r="AB54" s="146"/>
      <c r="AC54" s="172"/>
      <c r="AD54" s="173"/>
      <c r="AE54" s="174"/>
      <c r="AF54" s="175"/>
      <c r="AG54" s="271"/>
    </row>
    <row r="55" spans="1:33" s="32" customFormat="1" ht="49.5" x14ac:dyDescent="0.35">
      <c r="A55" s="270"/>
      <c r="B55" s="316"/>
      <c r="C55" s="316"/>
      <c r="D55" s="275"/>
      <c r="E55" s="143">
        <v>1</v>
      </c>
      <c r="F55" s="136">
        <v>1</v>
      </c>
      <c r="G55" s="136">
        <v>1</v>
      </c>
      <c r="H55" s="136">
        <v>1</v>
      </c>
      <c r="I55" s="136">
        <v>2</v>
      </c>
      <c r="J55" s="314" t="s">
        <v>309</v>
      </c>
      <c r="K55" s="137" t="s">
        <v>290</v>
      </c>
      <c r="L55" s="314" t="s">
        <v>291</v>
      </c>
      <c r="M55" s="176" t="s">
        <v>292</v>
      </c>
      <c r="N55" s="315"/>
      <c r="O55" s="316" t="s">
        <v>301</v>
      </c>
      <c r="P55" s="316" t="s">
        <v>301</v>
      </c>
      <c r="Q55" s="334">
        <v>780916000</v>
      </c>
      <c r="R55" s="316" t="s">
        <v>301</v>
      </c>
      <c r="S55" s="334">
        <f>Q55+(Q55*3%)+520</f>
        <v>804344000</v>
      </c>
      <c r="T55" s="316" t="s">
        <v>301</v>
      </c>
      <c r="U55" s="334">
        <f>S55+(S55*10%)+300</f>
        <v>884778700</v>
      </c>
      <c r="V55" s="316" t="s">
        <v>301</v>
      </c>
      <c r="W55" s="334">
        <f>U55+(U55*10%)-570</f>
        <v>973256000</v>
      </c>
      <c r="X55" s="316" t="s">
        <v>301</v>
      </c>
      <c r="Y55" s="334">
        <f>W55+(W55*10%)-600</f>
        <v>1070581000</v>
      </c>
      <c r="Z55" s="316" t="s">
        <v>301</v>
      </c>
      <c r="AA55" s="334">
        <f>Y55+W55+U55+S55+Q55</f>
        <v>4513875700</v>
      </c>
      <c r="AB55" s="153" t="s">
        <v>66</v>
      </c>
      <c r="AC55" s="161">
        <v>540500</v>
      </c>
      <c r="AD55" s="155">
        <f>AC55+(AC55*5%)</f>
        <v>567525</v>
      </c>
      <c r="AE55" s="156" t="s">
        <v>66</v>
      </c>
      <c r="AF55" s="157" t="s">
        <v>81</v>
      </c>
      <c r="AG55" s="316" t="s">
        <v>83</v>
      </c>
    </row>
    <row r="56" spans="1:33" s="32" customFormat="1" ht="165" x14ac:dyDescent="0.35">
      <c r="A56" s="270"/>
      <c r="B56" s="316"/>
      <c r="C56" s="316"/>
      <c r="D56" s="275"/>
      <c r="E56" s="143"/>
      <c r="F56" s="136"/>
      <c r="G56" s="136"/>
      <c r="H56" s="136"/>
      <c r="I56" s="136"/>
      <c r="J56" s="314"/>
      <c r="K56" s="137" t="s">
        <v>293</v>
      </c>
      <c r="L56" s="314" t="s">
        <v>291</v>
      </c>
      <c r="M56" s="314" t="s">
        <v>299</v>
      </c>
      <c r="N56" s="315" t="s">
        <v>300</v>
      </c>
      <c r="O56" s="177" t="s">
        <v>302</v>
      </c>
      <c r="P56" s="177" t="s">
        <v>302</v>
      </c>
      <c r="Q56" s="334"/>
      <c r="R56" s="177" t="s">
        <v>302</v>
      </c>
      <c r="S56" s="334"/>
      <c r="T56" s="177" t="s">
        <v>302</v>
      </c>
      <c r="U56" s="178"/>
      <c r="V56" s="177" t="s">
        <v>302</v>
      </c>
      <c r="W56" s="178"/>
      <c r="X56" s="177" t="s">
        <v>302</v>
      </c>
      <c r="Y56" s="178"/>
      <c r="Z56" s="177" t="s">
        <v>302</v>
      </c>
      <c r="AA56" s="178"/>
      <c r="AB56" s="316"/>
      <c r="AC56" s="162"/>
      <c r="AD56" s="163"/>
      <c r="AE56" s="164"/>
      <c r="AF56" s="165"/>
      <c r="AG56" s="272"/>
    </row>
    <row r="57" spans="1:33" s="32" customFormat="1" ht="297" x14ac:dyDescent="0.35">
      <c r="A57" s="270"/>
      <c r="B57" s="316"/>
      <c r="C57" s="316"/>
      <c r="D57" s="275"/>
      <c r="E57" s="143"/>
      <c r="F57" s="136"/>
      <c r="G57" s="136"/>
      <c r="H57" s="136"/>
      <c r="I57" s="136"/>
      <c r="J57" s="314"/>
      <c r="K57" s="137"/>
      <c r="L57" s="314"/>
      <c r="M57" s="314" t="s">
        <v>303</v>
      </c>
      <c r="N57" s="315" t="s">
        <v>304</v>
      </c>
      <c r="O57" s="178" t="s">
        <v>305</v>
      </c>
      <c r="P57" s="178" t="s">
        <v>305</v>
      </c>
      <c r="Q57" s="334"/>
      <c r="R57" s="178" t="s">
        <v>305</v>
      </c>
      <c r="S57" s="334"/>
      <c r="T57" s="178" t="s">
        <v>305</v>
      </c>
      <c r="U57" s="178"/>
      <c r="V57" s="178" t="s">
        <v>305</v>
      </c>
      <c r="W57" s="178"/>
      <c r="X57" s="178" t="s">
        <v>305</v>
      </c>
      <c r="Y57" s="178"/>
      <c r="Z57" s="178" t="s">
        <v>305</v>
      </c>
      <c r="AA57" s="178"/>
      <c r="AB57" s="316"/>
      <c r="AC57" s="162"/>
      <c r="AD57" s="163"/>
      <c r="AE57" s="164"/>
      <c r="AF57" s="165"/>
      <c r="AG57" s="272"/>
    </row>
    <row r="58" spans="1:33" s="32" customFormat="1" ht="49.5" x14ac:dyDescent="0.35">
      <c r="A58" s="270"/>
      <c r="B58" s="316"/>
      <c r="C58" s="316"/>
      <c r="D58" s="275"/>
      <c r="E58" s="143"/>
      <c r="F58" s="136"/>
      <c r="G58" s="136"/>
      <c r="H58" s="136"/>
      <c r="I58" s="136"/>
      <c r="J58" s="314"/>
      <c r="K58" s="137" t="s">
        <v>294</v>
      </c>
      <c r="L58" s="314" t="s">
        <v>291</v>
      </c>
      <c r="M58" s="314" t="s">
        <v>284</v>
      </c>
      <c r="N58" s="315" t="s">
        <v>306</v>
      </c>
      <c r="O58" s="166">
        <v>1</v>
      </c>
      <c r="P58" s="166">
        <v>1</v>
      </c>
      <c r="Q58" s="334"/>
      <c r="R58" s="166">
        <v>1</v>
      </c>
      <c r="S58" s="334"/>
      <c r="T58" s="166">
        <v>1</v>
      </c>
      <c r="U58" s="178"/>
      <c r="V58" s="166">
        <v>1</v>
      </c>
      <c r="W58" s="178"/>
      <c r="X58" s="166">
        <v>1</v>
      </c>
      <c r="Y58" s="178"/>
      <c r="Z58" s="166">
        <v>1</v>
      </c>
      <c r="AA58" s="178"/>
      <c r="AB58" s="316"/>
      <c r="AC58" s="161"/>
      <c r="AD58" s="155"/>
      <c r="AE58" s="156"/>
      <c r="AF58" s="157"/>
      <c r="AG58" s="272"/>
    </row>
    <row r="59" spans="1:33" s="32" customFormat="1" ht="66" x14ac:dyDescent="0.35">
      <c r="A59" s="270"/>
      <c r="B59" s="316"/>
      <c r="C59" s="316"/>
      <c r="D59" s="275"/>
      <c r="E59" s="143"/>
      <c r="F59" s="136"/>
      <c r="G59" s="136"/>
      <c r="H59" s="136"/>
      <c r="I59" s="136"/>
      <c r="J59" s="314"/>
      <c r="K59" s="137"/>
      <c r="L59" s="314"/>
      <c r="M59" s="314" t="s">
        <v>285</v>
      </c>
      <c r="N59" s="315" t="s">
        <v>307</v>
      </c>
      <c r="O59" s="166">
        <v>1</v>
      </c>
      <c r="P59" s="166">
        <v>1</v>
      </c>
      <c r="Q59" s="334"/>
      <c r="R59" s="166">
        <v>1</v>
      </c>
      <c r="S59" s="334"/>
      <c r="T59" s="166">
        <v>1</v>
      </c>
      <c r="U59" s="178"/>
      <c r="V59" s="166">
        <v>1</v>
      </c>
      <c r="W59" s="178"/>
      <c r="X59" s="166">
        <v>1</v>
      </c>
      <c r="Y59" s="178"/>
      <c r="Z59" s="166">
        <v>1</v>
      </c>
      <c r="AA59" s="178"/>
      <c r="AB59" s="316"/>
      <c r="AC59" s="161"/>
      <c r="AD59" s="155"/>
      <c r="AE59" s="156"/>
      <c r="AF59" s="157"/>
      <c r="AG59" s="272"/>
    </row>
    <row r="60" spans="1:33" s="58" customFormat="1" ht="33" x14ac:dyDescent="0.35">
      <c r="A60" s="279"/>
      <c r="B60" s="316"/>
      <c r="C60" s="316"/>
      <c r="D60" s="280"/>
      <c r="E60" s="143"/>
      <c r="F60" s="136"/>
      <c r="G60" s="136"/>
      <c r="H60" s="136"/>
      <c r="I60" s="136"/>
      <c r="J60" s="314"/>
      <c r="K60" s="137" t="s">
        <v>295</v>
      </c>
      <c r="L60" s="314" t="s">
        <v>291</v>
      </c>
      <c r="M60" s="176" t="s">
        <v>296</v>
      </c>
      <c r="N60" s="315"/>
      <c r="O60" s="316"/>
      <c r="P60" s="316"/>
      <c r="Q60" s="334"/>
      <c r="R60" s="316"/>
      <c r="S60" s="334"/>
      <c r="T60" s="316"/>
      <c r="U60" s="178"/>
      <c r="V60" s="316"/>
      <c r="W60" s="178"/>
      <c r="X60" s="316"/>
      <c r="Y60" s="178"/>
      <c r="Z60" s="316"/>
      <c r="AA60" s="178"/>
      <c r="AB60" s="316"/>
      <c r="AC60" s="161"/>
      <c r="AD60" s="155"/>
      <c r="AE60" s="156"/>
      <c r="AF60" s="157"/>
      <c r="AG60" s="281"/>
    </row>
    <row r="61" spans="1:33" s="58" customFormat="1" ht="33" x14ac:dyDescent="0.35">
      <c r="A61" s="279"/>
      <c r="B61" s="179"/>
      <c r="C61" s="179"/>
      <c r="D61" s="282"/>
      <c r="E61" s="180"/>
      <c r="F61" s="181"/>
      <c r="G61" s="181"/>
      <c r="H61" s="181"/>
      <c r="I61" s="181"/>
      <c r="J61" s="182"/>
      <c r="K61" s="183" t="s">
        <v>297</v>
      </c>
      <c r="L61" s="182" t="s">
        <v>291</v>
      </c>
      <c r="M61" s="184" t="s">
        <v>298</v>
      </c>
      <c r="N61" s="185"/>
      <c r="O61" s="179"/>
      <c r="P61" s="179"/>
      <c r="Q61" s="337"/>
      <c r="R61" s="179"/>
      <c r="S61" s="337"/>
      <c r="T61" s="179"/>
      <c r="U61" s="350"/>
      <c r="V61" s="179"/>
      <c r="W61" s="350"/>
      <c r="X61" s="179"/>
      <c r="Y61" s="350"/>
      <c r="Z61" s="179"/>
      <c r="AA61" s="350"/>
      <c r="AB61" s="179"/>
      <c r="AC61" s="186"/>
      <c r="AD61" s="187"/>
      <c r="AE61" s="188"/>
      <c r="AF61" s="189"/>
      <c r="AG61" s="283"/>
    </row>
    <row r="62" spans="1:33" s="32" customFormat="1" ht="18" x14ac:dyDescent="0.35">
      <c r="A62" s="270"/>
      <c r="B62" s="316"/>
      <c r="C62" s="316"/>
      <c r="D62" s="270"/>
      <c r="E62" s="143"/>
      <c r="F62" s="136"/>
      <c r="G62" s="136"/>
      <c r="H62" s="136"/>
      <c r="I62" s="136"/>
      <c r="J62" s="314"/>
      <c r="K62" s="158"/>
      <c r="L62" s="159"/>
      <c r="M62" s="159"/>
      <c r="N62" s="315"/>
      <c r="O62" s="316"/>
      <c r="P62" s="316"/>
      <c r="Q62" s="334"/>
      <c r="R62" s="316"/>
      <c r="S62" s="334"/>
      <c r="T62" s="316"/>
      <c r="U62" s="178"/>
      <c r="V62" s="316"/>
      <c r="W62" s="178"/>
      <c r="X62" s="316"/>
      <c r="Y62" s="178"/>
      <c r="Z62" s="316"/>
      <c r="AA62" s="178"/>
      <c r="AB62" s="316"/>
      <c r="AC62" s="190"/>
      <c r="AD62" s="163"/>
      <c r="AE62" s="164"/>
      <c r="AF62" s="165"/>
      <c r="AG62" s="272"/>
    </row>
    <row r="63" spans="1:33" s="32" customFormat="1" ht="162" x14ac:dyDescent="0.35">
      <c r="A63" s="270"/>
      <c r="B63" s="127" t="s">
        <v>1059</v>
      </c>
      <c r="C63" s="286" t="s">
        <v>334</v>
      </c>
      <c r="D63" s="127" t="s">
        <v>1065</v>
      </c>
      <c r="E63" s="128">
        <v>1</v>
      </c>
      <c r="F63" s="142">
        <v>1</v>
      </c>
      <c r="G63" s="142">
        <v>1</v>
      </c>
      <c r="H63" s="142">
        <v>2</v>
      </c>
      <c r="I63" s="142"/>
      <c r="J63" s="318" t="s">
        <v>311</v>
      </c>
      <c r="K63" s="511" t="s">
        <v>313</v>
      </c>
      <c r="L63" s="512"/>
      <c r="M63" s="512"/>
      <c r="N63" s="513"/>
      <c r="O63" s="191">
        <v>0.9</v>
      </c>
      <c r="P63" s="191">
        <v>0.91</v>
      </c>
      <c r="Q63" s="335">
        <f>SUM(Q64:Q85)</f>
        <v>4928410000</v>
      </c>
      <c r="R63" s="191">
        <v>0.92</v>
      </c>
      <c r="S63" s="335">
        <f>SUM(S64:S85)</f>
        <v>5421251000</v>
      </c>
      <c r="T63" s="191">
        <v>0.93</v>
      </c>
      <c r="U63" s="335">
        <f>SUM(U64:U85)</f>
        <v>5963376100</v>
      </c>
      <c r="V63" s="191">
        <v>0.94</v>
      </c>
      <c r="W63" s="335">
        <f>SUM(W64:W85)</f>
        <v>6559713710</v>
      </c>
      <c r="X63" s="191">
        <v>0.95</v>
      </c>
      <c r="Y63" s="335">
        <f>SUM(Y64:Y85)</f>
        <v>7215685081</v>
      </c>
      <c r="Z63" s="191">
        <v>0.95</v>
      </c>
      <c r="AA63" s="351">
        <f>Y63+W63+U63+S63+Q63</f>
        <v>30088435891</v>
      </c>
      <c r="AB63" s="127" t="s">
        <v>66</v>
      </c>
      <c r="AC63" s="192">
        <f>SUM(AC65:AC86)</f>
        <v>1309000</v>
      </c>
      <c r="AD63" s="192">
        <f>SUM(AD65:AD86)</f>
        <v>659000</v>
      </c>
      <c r="AE63" s="140"/>
      <c r="AF63" s="141"/>
      <c r="AG63" s="253" t="s">
        <v>92</v>
      </c>
    </row>
    <row r="64" spans="1:33" s="32" customFormat="1" ht="18" x14ac:dyDescent="0.35">
      <c r="A64" s="270"/>
      <c r="B64" s="127"/>
      <c r="C64" s="316"/>
      <c r="D64" s="270"/>
      <c r="E64" s="128"/>
      <c r="F64" s="142"/>
      <c r="G64" s="142"/>
      <c r="H64" s="142"/>
      <c r="I64" s="142"/>
      <c r="J64" s="318"/>
      <c r="K64" s="324"/>
      <c r="L64" s="325"/>
      <c r="M64" s="325"/>
      <c r="N64" s="319"/>
      <c r="O64" s="127"/>
      <c r="P64" s="127"/>
      <c r="Q64" s="335"/>
      <c r="R64" s="127"/>
      <c r="S64" s="335"/>
      <c r="T64" s="127"/>
      <c r="U64" s="351"/>
      <c r="V64" s="127"/>
      <c r="W64" s="351"/>
      <c r="X64" s="127"/>
      <c r="Y64" s="351"/>
      <c r="Z64" s="127"/>
      <c r="AA64" s="351"/>
      <c r="AB64" s="127"/>
      <c r="AC64" s="193"/>
      <c r="AD64" s="163"/>
      <c r="AE64" s="164"/>
      <c r="AF64" s="165"/>
      <c r="AG64" s="127"/>
    </row>
    <row r="65" spans="1:33" s="32" customFormat="1" ht="49.5" x14ac:dyDescent="0.35">
      <c r="A65" s="270"/>
      <c r="B65" s="316"/>
      <c r="C65" s="316"/>
      <c r="D65" s="270"/>
      <c r="E65" s="143">
        <v>1</v>
      </c>
      <c r="F65" s="136">
        <v>1</v>
      </c>
      <c r="G65" s="136">
        <v>1</v>
      </c>
      <c r="H65" s="136">
        <v>2</v>
      </c>
      <c r="I65" s="136">
        <v>1</v>
      </c>
      <c r="J65" s="314" t="s">
        <v>310</v>
      </c>
      <c r="K65" s="158" t="s">
        <v>290</v>
      </c>
      <c r="L65" s="159" t="s">
        <v>291</v>
      </c>
      <c r="M65" s="194" t="s">
        <v>312</v>
      </c>
      <c r="N65" s="315"/>
      <c r="O65" s="316" t="s">
        <v>301</v>
      </c>
      <c r="P65" s="316" t="s">
        <v>301</v>
      </c>
      <c r="Q65" s="338">
        <v>3823736000</v>
      </c>
      <c r="R65" s="316" t="s">
        <v>301</v>
      </c>
      <c r="S65" s="334">
        <f>Q65+(Q65*10%)+400</f>
        <v>4206110000</v>
      </c>
      <c r="T65" s="316" t="s">
        <v>301</v>
      </c>
      <c r="U65" s="334">
        <f>S65+(S65*10%)</f>
        <v>4626721000</v>
      </c>
      <c r="V65" s="316" t="s">
        <v>301</v>
      </c>
      <c r="W65" s="334">
        <f>U65+(U65*10%)+610</f>
        <v>5089393710</v>
      </c>
      <c r="X65" s="316" t="s">
        <v>301</v>
      </c>
      <c r="Y65" s="334">
        <f>W65+(W65*10%)</f>
        <v>5598333081</v>
      </c>
      <c r="Z65" s="316" t="s">
        <v>301</v>
      </c>
      <c r="AA65" s="178">
        <f>Y65+W65+U65+S65+Q65</f>
        <v>23344293791</v>
      </c>
      <c r="AB65" s="316" t="s">
        <v>66</v>
      </c>
      <c r="AC65" s="161">
        <v>950000</v>
      </c>
      <c r="AD65" s="155">
        <v>300000</v>
      </c>
      <c r="AE65" s="156" t="s">
        <v>66</v>
      </c>
      <c r="AF65" s="157" t="s">
        <v>81</v>
      </c>
      <c r="AG65" s="316" t="s">
        <v>1052</v>
      </c>
    </row>
    <row r="66" spans="1:33" s="32" customFormat="1" ht="82.5" x14ac:dyDescent="0.35">
      <c r="A66" s="270"/>
      <c r="B66" s="316"/>
      <c r="C66" s="316"/>
      <c r="D66" s="270"/>
      <c r="E66" s="143"/>
      <c r="F66" s="136"/>
      <c r="G66" s="136"/>
      <c r="H66" s="136"/>
      <c r="I66" s="136"/>
      <c r="J66" s="314"/>
      <c r="K66" s="158" t="s">
        <v>293</v>
      </c>
      <c r="L66" s="159" t="s">
        <v>291</v>
      </c>
      <c r="M66" s="160" t="s">
        <v>299</v>
      </c>
      <c r="N66" s="315" t="s">
        <v>314</v>
      </c>
      <c r="O66" s="316" t="s">
        <v>315</v>
      </c>
      <c r="P66" s="316" t="s">
        <v>315</v>
      </c>
      <c r="Q66" s="338"/>
      <c r="R66" s="316" t="s">
        <v>315</v>
      </c>
      <c r="S66" s="338"/>
      <c r="T66" s="316" t="s">
        <v>315</v>
      </c>
      <c r="U66" s="177"/>
      <c r="V66" s="316" t="s">
        <v>315</v>
      </c>
      <c r="W66" s="177"/>
      <c r="X66" s="316" t="s">
        <v>315</v>
      </c>
      <c r="Y66" s="177"/>
      <c r="Z66" s="316" t="s">
        <v>315</v>
      </c>
      <c r="AA66" s="177"/>
      <c r="AB66" s="316"/>
      <c r="AC66" s="161"/>
      <c r="AD66" s="155"/>
      <c r="AE66" s="156"/>
      <c r="AF66" s="157"/>
      <c r="AG66" s="272"/>
    </row>
    <row r="67" spans="1:33" s="32" customFormat="1" ht="409.5" x14ac:dyDescent="0.35">
      <c r="A67" s="270"/>
      <c r="B67" s="316"/>
      <c r="C67" s="316"/>
      <c r="D67" s="270"/>
      <c r="E67" s="143"/>
      <c r="F67" s="136"/>
      <c r="G67" s="136"/>
      <c r="H67" s="136"/>
      <c r="I67" s="136"/>
      <c r="J67" s="314"/>
      <c r="K67" s="158"/>
      <c r="L67" s="159"/>
      <c r="M67" s="160" t="s">
        <v>303</v>
      </c>
      <c r="N67" s="315" t="s">
        <v>316</v>
      </c>
      <c r="O67" s="195" t="s">
        <v>317</v>
      </c>
      <c r="P67" s="195" t="s">
        <v>317</v>
      </c>
      <c r="Q67" s="338"/>
      <c r="R67" s="195" t="s">
        <v>317</v>
      </c>
      <c r="S67" s="338"/>
      <c r="T67" s="195" t="s">
        <v>317</v>
      </c>
      <c r="U67" s="177"/>
      <c r="V67" s="195" t="s">
        <v>317</v>
      </c>
      <c r="W67" s="177"/>
      <c r="X67" s="195" t="s">
        <v>317</v>
      </c>
      <c r="Y67" s="177"/>
      <c r="Z67" s="195" t="s">
        <v>317</v>
      </c>
      <c r="AA67" s="177"/>
      <c r="AB67" s="316"/>
      <c r="AC67" s="161"/>
      <c r="AD67" s="155"/>
      <c r="AE67" s="156"/>
      <c r="AF67" s="157"/>
      <c r="AG67" s="272"/>
    </row>
    <row r="68" spans="1:33" s="32" customFormat="1" ht="280.5" x14ac:dyDescent="0.35">
      <c r="A68" s="270"/>
      <c r="B68" s="316"/>
      <c r="C68" s="316"/>
      <c r="D68" s="270"/>
      <c r="E68" s="143"/>
      <c r="F68" s="136"/>
      <c r="G68" s="136"/>
      <c r="H68" s="136"/>
      <c r="I68" s="136"/>
      <c r="J68" s="314"/>
      <c r="K68" s="158"/>
      <c r="L68" s="159"/>
      <c r="M68" s="160" t="s">
        <v>318</v>
      </c>
      <c r="N68" s="315" t="s">
        <v>319</v>
      </c>
      <c r="O68" s="316" t="s">
        <v>320</v>
      </c>
      <c r="P68" s="316" t="s">
        <v>320</v>
      </c>
      <c r="Q68" s="338"/>
      <c r="R68" s="316" t="s">
        <v>320</v>
      </c>
      <c r="S68" s="338"/>
      <c r="T68" s="316" t="s">
        <v>320</v>
      </c>
      <c r="U68" s="177"/>
      <c r="V68" s="316" t="s">
        <v>320</v>
      </c>
      <c r="W68" s="177"/>
      <c r="X68" s="316" t="s">
        <v>320</v>
      </c>
      <c r="Y68" s="177"/>
      <c r="Z68" s="316" t="s">
        <v>320</v>
      </c>
      <c r="AA68" s="177"/>
      <c r="AB68" s="316"/>
      <c r="AC68" s="161"/>
      <c r="AD68" s="155"/>
      <c r="AE68" s="156"/>
      <c r="AF68" s="157"/>
      <c r="AG68" s="272"/>
    </row>
    <row r="69" spans="1:33" s="32" customFormat="1" ht="49.5" x14ac:dyDescent="0.35">
      <c r="A69" s="270"/>
      <c r="B69" s="316"/>
      <c r="C69" s="316"/>
      <c r="D69" s="270"/>
      <c r="E69" s="143"/>
      <c r="F69" s="136"/>
      <c r="G69" s="136"/>
      <c r="H69" s="136"/>
      <c r="I69" s="136"/>
      <c r="J69" s="314"/>
      <c r="K69" s="158" t="s">
        <v>294</v>
      </c>
      <c r="L69" s="159" t="s">
        <v>291</v>
      </c>
      <c r="M69" s="160" t="s">
        <v>299</v>
      </c>
      <c r="N69" s="315" t="s">
        <v>322</v>
      </c>
      <c r="O69" s="196">
        <v>1</v>
      </c>
      <c r="P69" s="196">
        <v>1</v>
      </c>
      <c r="Q69" s="338"/>
      <c r="R69" s="196">
        <v>1</v>
      </c>
      <c r="S69" s="338"/>
      <c r="T69" s="196">
        <v>1</v>
      </c>
      <c r="U69" s="177"/>
      <c r="V69" s="196">
        <v>1</v>
      </c>
      <c r="W69" s="177"/>
      <c r="X69" s="196">
        <v>1</v>
      </c>
      <c r="Y69" s="177"/>
      <c r="Z69" s="196">
        <v>1</v>
      </c>
      <c r="AA69" s="177"/>
      <c r="AB69" s="316"/>
      <c r="AC69" s="161"/>
      <c r="AD69" s="155"/>
      <c r="AE69" s="156"/>
      <c r="AF69" s="157"/>
      <c r="AG69" s="272"/>
    </row>
    <row r="70" spans="1:33" s="32" customFormat="1" ht="66" x14ac:dyDescent="0.35">
      <c r="A70" s="270"/>
      <c r="B70" s="316"/>
      <c r="C70" s="316"/>
      <c r="D70" s="270"/>
      <c r="E70" s="143"/>
      <c r="F70" s="136"/>
      <c r="G70" s="136"/>
      <c r="H70" s="136"/>
      <c r="I70" s="136"/>
      <c r="J70" s="314"/>
      <c r="K70" s="158"/>
      <c r="L70" s="159"/>
      <c r="M70" s="160" t="s">
        <v>303</v>
      </c>
      <c r="N70" s="315" t="s">
        <v>323</v>
      </c>
      <c r="O70" s="196">
        <v>1</v>
      </c>
      <c r="P70" s="196">
        <v>1</v>
      </c>
      <c r="Q70" s="338"/>
      <c r="R70" s="196">
        <v>1</v>
      </c>
      <c r="S70" s="338"/>
      <c r="T70" s="196">
        <v>1</v>
      </c>
      <c r="U70" s="177"/>
      <c r="V70" s="196">
        <v>1</v>
      </c>
      <c r="W70" s="177"/>
      <c r="X70" s="196">
        <v>1</v>
      </c>
      <c r="Y70" s="177"/>
      <c r="Z70" s="196">
        <v>1</v>
      </c>
      <c r="AA70" s="177"/>
      <c r="AB70" s="316"/>
      <c r="AC70" s="161"/>
      <c r="AD70" s="155"/>
      <c r="AE70" s="156"/>
      <c r="AF70" s="157"/>
      <c r="AG70" s="272"/>
    </row>
    <row r="71" spans="1:33" s="32" customFormat="1" ht="33" x14ac:dyDescent="0.35">
      <c r="A71" s="270"/>
      <c r="B71" s="316"/>
      <c r="C71" s="316"/>
      <c r="D71" s="270"/>
      <c r="E71" s="143"/>
      <c r="F71" s="136"/>
      <c r="G71" s="136"/>
      <c r="H71" s="136"/>
      <c r="I71" s="136"/>
      <c r="J71" s="314"/>
      <c r="K71" s="158"/>
      <c r="L71" s="159"/>
      <c r="M71" s="160" t="s">
        <v>318</v>
      </c>
      <c r="N71" s="315" t="s">
        <v>324</v>
      </c>
      <c r="O71" s="196">
        <v>1</v>
      </c>
      <c r="P71" s="196">
        <v>1</v>
      </c>
      <c r="Q71" s="338"/>
      <c r="R71" s="196">
        <v>1</v>
      </c>
      <c r="S71" s="338"/>
      <c r="T71" s="196">
        <v>1</v>
      </c>
      <c r="U71" s="177"/>
      <c r="V71" s="196">
        <v>1</v>
      </c>
      <c r="W71" s="177"/>
      <c r="X71" s="196">
        <v>1</v>
      </c>
      <c r="Y71" s="177"/>
      <c r="Z71" s="196">
        <v>1</v>
      </c>
      <c r="AA71" s="177"/>
      <c r="AB71" s="316"/>
      <c r="AC71" s="161"/>
      <c r="AD71" s="155"/>
      <c r="AE71" s="156"/>
      <c r="AF71" s="157"/>
      <c r="AG71" s="272"/>
    </row>
    <row r="72" spans="1:33" s="32" customFormat="1" ht="33" x14ac:dyDescent="0.35">
      <c r="A72" s="270"/>
      <c r="B72" s="316"/>
      <c r="C72" s="316"/>
      <c r="D72" s="270"/>
      <c r="E72" s="143"/>
      <c r="F72" s="136"/>
      <c r="G72" s="136"/>
      <c r="H72" s="136"/>
      <c r="I72" s="136"/>
      <c r="J72" s="314"/>
      <c r="K72" s="137" t="s">
        <v>295</v>
      </c>
      <c r="L72" s="314" t="s">
        <v>291</v>
      </c>
      <c r="M72" s="176" t="s">
        <v>346</v>
      </c>
      <c r="N72" s="315"/>
      <c r="O72" s="316"/>
      <c r="P72" s="316"/>
      <c r="Q72" s="338"/>
      <c r="R72" s="316"/>
      <c r="S72" s="338"/>
      <c r="T72" s="316"/>
      <c r="U72" s="177"/>
      <c r="V72" s="316"/>
      <c r="W72" s="177"/>
      <c r="X72" s="316"/>
      <c r="Y72" s="177"/>
      <c r="Z72" s="316"/>
      <c r="AA72" s="177"/>
      <c r="AB72" s="316"/>
      <c r="AC72" s="161"/>
      <c r="AD72" s="155"/>
      <c r="AE72" s="156"/>
      <c r="AF72" s="157"/>
      <c r="AG72" s="272"/>
    </row>
    <row r="73" spans="1:33" s="32" customFormat="1" ht="33" x14ac:dyDescent="0.35">
      <c r="A73" s="270"/>
      <c r="B73" s="179"/>
      <c r="C73" s="179"/>
      <c r="D73" s="284"/>
      <c r="E73" s="180"/>
      <c r="F73" s="181"/>
      <c r="G73" s="181"/>
      <c r="H73" s="181"/>
      <c r="I73" s="181"/>
      <c r="J73" s="182"/>
      <c r="K73" s="183" t="s">
        <v>297</v>
      </c>
      <c r="L73" s="182" t="s">
        <v>291</v>
      </c>
      <c r="M73" s="184" t="s">
        <v>298</v>
      </c>
      <c r="N73" s="185"/>
      <c r="O73" s="179"/>
      <c r="P73" s="179"/>
      <c r="Q73" s="339"/>
      <c r="R73" s="179"/>
      <c r="S73" s="339"/>
      <c r="T73" s="179"/>
      <c r="U73" s="347"/>
      <c r="V73" s="179"/>
      <c r="W73" s="347"/>
      <c r="X73" s="179"/>
      <c r="Y73" s="347"/>
      <c r="Z73" s="179"/>
      <c r="AA73" s="347"/>
      <c r="AB73" s="179"/>
      <c r="AC73" s="186"/>
      <c r="AD73" s="187"/>
      <c r="AE73" s="188"/>
      <c r="AF73" s="189"/>
      <c r="AG73" s="285"/>
    </row>
    <row r="74" spans="1:33" s="58" customFormat="1" ht="18" x14ac:dyDescent="0.35">
      <c r="A74" s="279"/>
      <c r="B74" s="316"/>
      <c r="C74" s="316"/>
      <c r="D74" s="279"/>
      <c r="E74" s="143"/>
      <c r="F74" s="136"/>
      <c r="G74" s="136"/>
      <c r="H74" s="136"/>
      <c r="I74" s="136"/>
      <c r="J74" s="314"/>
      <c r="K74" s="158"/>
      <c r="L74" s="159"/>
      <c r="M74" s="159"/>
      <c r="N74" s="315"/>
      <c r="O74" s="316"/>
      <c r="P74" s="316"/>
      <c r="Q74" s="338"/>
      <c r="R74" s="316"/>
      <c r="S74" s="338"/>
      <c r="T74" s="316"/>
      <c r="U74" s="177"/>
      <c r="V74" s="316"/>
      <c r="W74" s="177"/>
      <c r="X74" s="316"/>
      <c r="Y74" s="177"/>
      <c r="Z74" s="316"/>
      <c r="AA74" s="177"/>
      <c r="AB74" s="316"/>
      <c r="AC74" s="162"/>
      <c r="AD74" s="163"/>
      <c r="AE74" s="164"/>
      <c r="AF74" s="165"/>
      <c r="AG74" s="281"/>
    </row>
    <row r="75" spans="1:33" s="32" customFormat="1" ht="33" x14ac:dyDescent="0.35">
      <c r="A75" s="270"/>
      <c r="B75" s="316"/>
      <c r="C75" s="316"/>
      <c r="D75" s="270"/>
      <c r="E75" s="143">
        <v>1</v>
      </c>
      <c r="F75" s="136">
        <v>1</v>
      </c>
      <c r="G75" s="136">
        <v>1</v>
      </c>
      <c r="H75" s="136">
        <v>2</v>
      </c>
      <c r="I75" s="136">
        <v>2</v>
      </c>
      <c r="J75" s="314" t="s">
        <v>321</v>
      </c>
      <c r="K75" s="158" t="s">
        <v>290</v>
      </c>
      <c r="L75" s="159" t="s">
        <v>291</v>
      </c>
      <c r="M75" s="194" t="s">
        <v>312</v>
      </c>
      <c r="N75" s="315"/>
      <c r="O75" s="316" t="s">
        <v>301</v>
      </c>
      <c r="P75" s="316" t="s">
        <v>301</v>
      </c>
      <c r="Q75" s="334">
        <v>1104674000</v>
      </c>
      <c r="R75" s="316" t="s">
        <v>301</v>
      </c>
      <c r="S75" s="334">
        <f>Q75+(Q75*10%)-400</f>
        <v>1215141000</v>
      </c>
      <c r="T75" s="316" t="s">
        <v>301</v>
      </c>
      <c r="U75" s="334">
        <f>S75+(S75*10%)</f>
        <v>1336655100</v>
      </c>
      <c r="V75" s="316" t="s">
        <v>301</v>
      </c>
      <c r="W75" s="334">
        <f>U75+(U75*10%)-610</f>
        <v>1470320000</v>
      </c>
      <c r="X75" s="316" t="s">
        <v>301</v>
      </c>
      <c r="Y75" s="334">
        <f>W75+(W75*10%)</f>
        <v>1617352000</v>
      </c>
      <c r="Z75" s="316" t="s">
        <v>301</v>
      </c>
      <c r="AA75" s="178">
        <f>Y75+W75+U75+S75+Q75</f>
        <v>6744142100</v>
      </c>
      <c r="AB75" s="316" t="s">
        <v>66</v>
      </c>
      <c r="AC75" s="161">
        <v>359000</v>
      </c>
      <c r="AD75" s="155">
        <f>AC75</f>
        <v>359000</v>
      </c>
      <c r="AE75" s="156" t="s">
        <v>84</v>
      </c>
      <c r="AF75" s="157" t="s">
        <v>81</v>
      </c>
      <c r="AG75" s="316" t="s">
        <v>97</v>
      </c>
    </row>
    <row r="76" spans="1:33" s="32" customFormat="1" ht="148.5" x14ac:dyDescent="0.35">
      <c r="A76" s="270"/>
      <c r="B76" s="316"/>
      <c r="C76" s="316"/>
      <c r="D76" s="270"/>
      <c r="E76" s="143"/>
      <c r="F76" s="136"/>
      <c r="G76" s="136"/>
      <c r="H76" s="136"/>
      <c r="I76" s="136"/>
      <c r="J76" s="314"/>
      <c r="K76" s="158" t="s">
        <v>293</v>
      </c>
      <c r="L76" s="159" t="s">
        <v>291</v>
      </c>
      <c r="M76" s="160" t="s">
        <v>299</v>
      </c>
      <c r="N76" s="315" t="s">
        <v>325</v>
      </c>
      <c r="O76" s="316" t="s">
        <v>326</v>
      </c>
      <c r="P76" s="316" t="s">
        <v>326</v>
      </c>
      <c r="Q76" s="334"/>
      <c r="R76" s="316" t="s">
        <v>326</v>
      </c>
      <c r="S76" s="334"/>
      <c r="T76" s="316" t="s">
        <v>326</v>
      </c>
      <c r="U76" s="178"/>
      <c r="V76" s="316" t="s">
        <v>326</v>
      </c>
      <c r="W76" s="178"/>
      <c r="X76" s="316" t="s">
        <v>326</v>
      </c>
      <c r="Y76" s="178"/>
      <c r="Z76" s="316" t="s">
        <v>326</v>
      </c>
      <c r="AA76" s="178"/>
      <c r="AB76" s="316"/>
      <c r="AC76" s="161"/>
      <c r="AD76" s="155"/>
      <c r="AE76" s="156"/>
      <c r="AF76" s="157"/>
      <c r="AG76" s="272"/>
    </row>
    <row r="77" spans="1:33" s="32" customFormat="1" ht="264" x14ac:dyDescent="0.35">
      <c r="A77" s="270"/>
      <c r="B77" s="316"/>
      <c r="C77" s="316"/>
      <c r="D77" s="270"/>
      <c r="E77" s="143"/>
      <c r="F77" s="136"/>
      <c r="G77" s="136"/>
      <c r="H77" s="136"/>
      <c r="I77" s="136"/>
      <c r="J77" s="314"/>
      <c r="K77" s="158"/>
      <c r="L77" s="159"/>
      <c r="M77" s="160" t="s">
        <v>303</v>
      </c>
      <c r="N77" s="315" t="s">
        <v>327</v>
      </c>
      <c r="O77" s="316" t="s">
        <v>328</v>
      </c>
      <c r="P77" s="316" t="s">
        <v>328</v>
      </c>
      <c r="Q77" s="334"/>
      <c r="R77" s="316" t="s">
        <v>328</v>
      </c>
      <c r="S77" s="334"/>
      <c r="T77" s="316" t="s">
        <v>328</v>
      </c>
      <c r="U77" s="178"/>
      <c r="V77" s="316" t="s">
        <v>328</v>
      </c>
      <c r="W77" s="178"/>
      <c r="X77" s="316" t="s">
        <v>328</v>
      </c>
      <c r="Y77" s="178"/>
      <c r="Z77" s="316" t="s">
        <v>328</v>
      </c>
      <c r="AA77" s="178"/>
      <c r="AB77" s="316"/>
      <c r="AC77" s="161"/>
      <c r="AD77" s="155"/>
      <c r="AE77" s="156"/>
      <c r="AF77" s="157"/>
      <c r="AG77" s="272"/>
    </row>
    <row r="78" spans="1:33" s="32" customFormat="1" ht="49.5" x14ac:dyDescent="0.35">
      <c r="A78" s="270"/>
      <c r="B78" s="316"/>
      <c r="C78" s="316"/>
      <c r="D78" s="270"/>
      <c r="E78" s="143"/>
      <c r="F78" s="136"/>
      <c r="G78" s="136"/>
      <c r="H78" s="136"/>
      <c r="I78" s="136"/>
      <c r="J78" s="314"/>
      <c r="K78" s="158"/>
      <c r="L78" s="159"/>
      <c r="M78" s="160" t="s">
        <v>318</v>
      </c>
      <c r="N78" s="315" t="s">
        <v>329</v>
      </c>
      <c r="O78" s="316" t="s">
        <v>330</v>
      </c>
      <c r="P78" s="316" t="s">
        <v>330</v>
      </c>
      <c r="Q78" s="334"/>
      <c r="R78" s="316" t="s">
        <v>330</v>
      </c>
      <c r="S78" s="334"/>
      <c r="T78" s="316" t="s">
        <v>330</v>
      </c>
      <c r="U78" s="178"/>
      <c r="V78" s="316" t="s">
        <v>330</v>
      </c>
      <c r="W78" s="178"/>
      <c r="X78" s="316" t="s">
        <v>330</v>
      </c>
      <c r="Y78" s="178"/>
      <c r="Z78" s="316" t="s">
        <v>330</v>
      </c>
      <c r="AA78" s="178"/>
      <c r="AB78" s="316"/>
      <c r="AC78" s="161"/>
      <c r="AD78" s="155"/>
      <c r="AE78" s="156"/>
      <c r="AF78" s="157"/>
      <c r="AG78" s="272"/>
    </row>
    <row r="79" spans="1:33" s="32" customFormat="1" ht="82.5" x14ac:dyDescent="0.35">
      <c r="A79" s="270"/>
      <c r="B79" s="316"/>
      <c r="C79" s="316"/>
      <c r="D79" s="270"/>
      <c r="E79" s="143"/>
      <c r="F79" s="136"/>
      <c r="G79" s="136"/>
      <c r="H79" s="136"/>
      <c r="I79" s="136"/>
      <c r="J79" s="314"/>
      <c r="K79" s="158"/>
      <c r="L79" s="159"/>
      <c r="M79" s="160" t="s">
        <v>331</v>
      </c>
      <c r="N79" s="315" t="s">
        <v>332</v>
      </c>
      <c r="O79" s="316" t="s">
        <v>333</v>
      </c>
      <c r="P79" s="316" t="s">
        <v>333</v>
      </c>
      <c r="Q79" s="334"/>
      <c r="R79" s="316" t="s">
        <v>333</v>
      </c>
      <c r="S79" s="334"/>
      <c r="T79" s="316" t="s">
        <v>333</v>
      </c>
      <c r="U79" s="178"/>
      <c r="V79" s="316" t="s">
        <v>333</v>
      </c>
      <c r="W79" s="178"/>
      <c r="X79" s="316" t="s">
        <v>333</v>
      </c>
      <c r="Y79" s="178"/>
      <c r="Z79" s="316" t="s">
        <v>333</v>
      </c>
      <c r="AA79" s="178"/>
      <c r="AB79" s="316"/>
      <c r="AC79" s="161"/>
      <c r="AD79" s="155"/>
      <c r="AE79" s="156"/>
      <c r="AF79" s="157"/>
      <c r="AG79" s="272"/>
    </row>
    <row r="80" spans="1:33" s="32" customFormat="1" ht="49.5" x14ac:dyDescent="0.35">
      <c r="A80" s="270"/>
      <c r="B80" s="316"/>
      <c r="C80" s="316"/>
      <c r="D80" s="270"/>
      <c r="E80" s="143"/>
      <c r="F80" s="136"/>
      <c r="G80" s="136"/>
      <c r="H80" s="136"/>
      <c r="I80" s="136"/>
      <c r="J80" s="314"/>
      <c r="K80" s="158" t="s">
        <v>294</v>
      </c>
      <c r="L80" s="159" t="s">
        <v>291</v>
      </c>
      <c r="M80" s="160" t="s">
        <v>299</v>
      </c>
      <c r="N80" s="315" t="s">
        <v>335</v>
      </c>
      <c r="O80" s="196">
        <v>1</v>
      </c>
      <c r="P80" s="196">
        <v>1</v>
      </c>
      <c r="Q80" s="334"/>
      <c r="R80" s="196">
        <v>1</v>
      </c>
      <c r="S80" s="334"/>
      <c r="T80" s="196">
        <v>1</v>
      </c>
      <c r="U80" s="178"/>
      <c r="V80" s="196">
        <v>1</v>
      </c>
      <c r="W80" s="178"/>
      <c r="X80" s="196">
        <v>1</v>
      </c>
      <c r="Y80" s="178"/>
      <c r="Z80" s="196">
        <v>1</v>
      </c>
      <c r="AA80" s="178"/>
      <c r="AB80" s="316"/>
      <c r="AC80" s="161"/>
      <c r="AD80" s="155"/>
      <c r="AE80" s="156"/>
      <c r="AF80" s="157"/>
      <c r="AG80" s="272"/>
    </row>
    <row r="81" spans="1:33" s="32" customFormat="1" ht="33" x14ac:dyDescent="0.35">
      <c r="A81" s="270"/>
      <c r="B81" s="316"/>
      <c r="C81" s="316"/>
      <c r="D81" s="270"/>
      <c r="E81" s="143"/>
      <c r="F81" s="136"/>
      <c r="G81" s="136"/>
      <c r="H81" s="136"/>
      <c r="I81" s="136"/>
      <c r="J81" s="314"/>
      <c r="K81" s="158"/>
      <c r="L81" s="159"/>
      <c r="M81" s="160" t="s">
        <v>303</v>
      </c>
      <c r="N81" s="315" t="s">
        <v>336</v>
      </c>
      <c r="O81" s="196">
        <v>1</v>
      </c>
      <c r="P81" s="196">
        <v>1</v>
      </c>
      <c r="Q81" s="334"/>
      <c r="R81" s="196">
        <v>1</v>
      </c>
      <c r="S81" s="334"/>
      <c r="T81" s="196">
        <v>1</v>
      </c>
      <c r="U81" s="178"/>
      <c r="V81" s="196">
        <v>1</v>
      </c>
      <c r="W81" s="178"/>
      <c r="X81" s="196">
        <v>1</v>
      </c>
      <c r="Y81" s="178"/>
      <c r="Z81" s="196">
        <v>1</v>
      </c>
      <c r="AA81" s="178"/>
      <c r="AB81" s="316"/>
      <c r="AC81" s="161"/>
      <c r="AD81" s="155"/>
      <c r="AE81" s="156"/>
      <c r="AF81" s="157"/>
      <c r="AG81" s="272"/>
    </row>
    <row r="82" spans="1:33" s="32" customFormat="1" ht="49.5" x14ac:dyDescent="0.35">
      <c r="A82" s="270"/>
      <c r="B82" s="316"/>
      <c r="C82" s="316"/>
      <c r="D82" s="270"/>
      <c r="E82" s="143"/>
      <c r="F82" s="136"/>
      <c r="G82" s="136"/>
      <c r="H82" s="136"/>
      <c r="I82" s="136"/>
      <c r="J82" s="314"/>
      <c r="K82" s="158"/>
      <c r="L82" s="159"/>
      <c r="M82" s="160" t="s">
        <v>318</v>
      </c>
      <c r="N82" s="315" t="s">
        <v>337</v>
      </c>
      <c r="O82" s="196">
        <v>1</v>
      </c>
      <c r="P82" s="196">
        <v>1</v>
      </c>
      <c r="Q82" s="334"/>
      <c r="R82" s="196">
        <v>1</v>
      </c>
      <c r="S82" s="334"/>
      <c r="T82" s="196">
        <v>1</v>
      </c>
      <c r="U82" s="178"/>
      <c r="V82" s="196">
        <v>1</v>
      </c>
      <c r="W82" s="178"/>
      <c r="X82" s="196">
        <v>1</v>
      </c>
      <c r="Y82" s="178"/>
      <c r="Z82" s="196">
        <v>1</v>
      </c>
      <c r="AA82" s="178"/>
      <c r="AB82" s="316"/>
      <c r="AC82" s="161"/>
      <c r="AD82" s="155"/>
      <c r="AE82" s="156"/>
      <c r="AF82" s="157"/>
      <c r="AG82" s="272"/>
    </row>
    <row r="83" spans="1:33" s="32" customFormat="1" ht="33" x14ac:dyDescent="0.35">
      <c r="A83" s="270"/>
      <c r="B83" s="316"/>
      <c r="C83" s="316"/>
      <c r="D83" s="270"/>
      <c r="E83" s="143"/>
      <c r="F83" s="136"/>
      <c r="G83" s="136"/>
      <c r="H83" s="136"/>
      <c r="I83" s="136"/>
      <c r="J83" s="314"/>
      <c r="K83" s="158"/>
      <c r="L83" s="159"/>
      <c r="M83" s="160" t="s">
        <v>331</v>
      </c>
      <c r="N83" s="315" t="s">
        <v>338</v>
      </c>
      <c r="O83" s="196">
        <v>1</v>
      </c>
      <c r="P83" s="196">
        <v>1</v>
      </c>
      <c r="Q83" s="334"/>
      <c r="R83" s="196">
        <v>1</v>
      </c>
      <c r="S83" s="334"/>
      <c r="T83" s="196">
        <v>1</v>
      </c>
      <c r="U83" s="178"/>
      <c r="V83" s="196">
        <v>1</v>
      </c>
      <c r="W83" s="178"/>
      <c r="X83" s="196">
        <v>1</v>
      </c>
      <c r="Y83" s="178"/>
      <c r="Z83" s="196">
        <v>1</v>
      </c>
      <c r="AA83" s="178"/>
      <c r="AB83" s="316"/>
      <c r="AC83" s="161"/>
      <c r="AD83" s="155"/>
      <c r="AE83" s="156"/>
      <c r="AF83" s="157"/>
      <c r="AG83" s="272"/>
    </row>
    <row r="84" spans="1:33" s="32" customFormat="1" ht="33" x14ac:dyDescent="0.35">
      <c r="A84" s="270"/>
      <c r="B84" s="316"/>
      <c r="C84" s="316"/>
      <c r="D84" s="270"/>
      <c r="E84" s="143"/>
      <c r="F84" s="136"/>
      <c r="G84" s="136"/>
      <c r="H84" s="136"/>
      <c r="I84" s="136"/>
      <c r="J84" s="314"/>
      <c r="K84" s="137" t="s">
        <v>295</v>
      </c>
      <c r="L84" s="314" t="s">
        <v>291</v>
      </c>
      <c r="M84" s="197" t="s">
        <v>346</v>
      </c>
      <c r="N84" s="315"/>
      <c r="O84" s="316"/>
      <c r="P84" s="316"/>
      <c r="Q84" s="334"/>
      <c r="R84" s="316"/>
      <c r="S84" s="334"/>
      <c r="T84" s="316"/>
      <c r="U84" s="178"/>
      <c r="V84" s="316"/>
      <c r="W84" s="178"/>
      <c r="X84" s="316"/>
      <c r="Y84" s="178"/>
      <c r="Z84" s="316"/>
      <c r="AA84" s="178"/>
      <c r="AB84" s="316"/>
      <c r="AC84" s="161"/>
      <c r="AD84" s="155"/>
      <c r="AE84" s="156"/>
      <c r="AF84" s="157"/>
      <c r="AG84" s="272"/>
    </row>
    <row r="85" spans="1:33" s="32" customFormat="1" ht="33" x14ac:dyDescent="0.35">
      <c r="A85" s="284"/>
      <c r="B85" s="179"/>
      <c r="C85" s="179"/>
      <c r="D85" s="284"/>
      <c r="E85" s="180"/>
      <c r="F85" s="181"/>
      <c r="G85" s="181"/>
      <c r="H85" s="181"/>
      <c r="I85" s="181"/>
      <c r="J85" s="182"/>
      <c r="K85" s="183" t="s">
        <v>297</v>
      </c>
      <c r="L85" s="182" t="s">
        <v>291</v>
      </c>
      <c r="M85" s="198" t="s">
        <v>298</v>
      </c>
      <c r="N85" s="185"/>
      <c r="O85" s="179"/>
      <c r="P85" s="179"/>
      <c r="Q85" s="337"/>
      <c r="R85" s="179"/>
      <c r="S85" s="337"/>
      <c r="T85" s="179"/>
      <c r="U85" s="350"/>
      <c r="V85" s="179"/>
      <c r="W85" s="350"/>
      <c r="X85" s="179"/>
      <c r="Y85" s="350"/>
      <c r="Z85" s="179"/>
      <c r="AA85" s="350"/>
      <c r="AB85" s="179"/>
      <c r="AC85" s="199"/>
      <c r="AD85" s="200"/>
      <c r="AE85" s="201"/>
      <c r="AF85" s="202"/>
      <c r="AG85" s="285"/>
    </row>
    <row r="86" spans="1:33" s="32" customFormat="1" ht="18" x14ac:dyDescent="0.35">
      <c r="A86" s="270"/>
      <c r="B86" s="316"/>
      <c r="C86" s="316"/>
      <c r="D86" s="270"/>
      <c r="E86" s="143"/>
      <c r="F86" s="136"/>
      <c r="G86" s="136"/>
      <c r="H86" s="136"/>
      <c r="I86" s="136"/>
      <c r="J86" s="314"/>
      <c r="K86" s="137"/>
      <c r="L86" s="314"/>
      <c r="M86" s="176"/>
      <c r="N86" s="315"/>
      <c r="O86" s="137"/>
      <c r="P86" s="137"/>
      <c r="Q86" s="334"/>
      <c r="R86" s="137"/>
      <c r="S86" s="334"/>
      <c r="T86" s="137"/>
      <c r="U86" s="178"/>
      <c r="V86" s="137"/>
      <c r="W86" s="178"/>
      <c r="X86" s="137"/>
      <c r="Y86" s="178"/>
      <c r="Z86" s="137"/>
      <c r="AA86" s="178"/>
      <c r="AB86" s="316"/>
      <c r="AC86" s="162"/>
      <c r="AD86" s="163"/>
      <c r="AE86" s="164"/>
      <c r="AF86" s="165"/>
      <c r="AG86" s="272"/>
    </row>
    <row r="87" spans="1:33" s="32" customFormat="1" ht="162" x14ac:dyDescent="0.35">
      <c r="A87" s="270"/>
      <c r="B87" s="127" t="s">
        <v>1059</v>
      </c>
      <c r="C87" s="286" t="s">
        <v>334</v>
      </c>
      <c r="D87" s="127" t="s">
        <v>1065</v>
      </c>
      <c r="E87" s="128">
        <v>1</v>
      </c>
      <c r="F87" s="142">
        <v>1</v>
      </c>
      <c r="G87" s="142">
        <v>1</v>
      </c>
      <c r="H87" s="142">
        <v>3</v>
      </c>
      <c r="I87" s="142"/>
      <c r="J87" s="318" t="s">
        <v>339</v>
      </c>
      <c r="K87" s="524" t="s">
        <v>1024</v>
      </c>
      <c r="L87" s="525"/>
      <c r="M87" s="525"/>
      <c r="N87" s="526"/>
      <c r="O87" s="144">
        <v>1</v>
      </c>
      <c r="P87" s="144">
        <v>1</v>
      </c>
      <c r="Q87" s="335">
        <f>SUM(Q88:Q122)</f>
        <v>614135000</v>
      </c>
      <c r="R87" s="144">
        <v>1</v>
      </c>
      <c r="S87" s="335">
        <f>SUM(S88:S122)</f>
        <v>652842000</v>
      </c>
      <c r="T87" s="144">
        <v>1</v>
      </c>
      <c r="U87" s="335">
        <f>SUM(U88:U122)</f>
        <v>718126200</v>
      </c>
      <c r="V87" s="144">
        <v>1</v>
      </c>
      <c r="W87" s="335">
        <f>SUM(W88:W122)</f>
        <v>789938820</v>
      </c>
      <c r="X87" s="144">
        <v>1</v>
      </c>
      <c r="Y87" s="335">
        <f>SUM(Y88:Y122)</f>
        <v>868932702</v>
      </c>
      <c r="Z87" s="144">
        <v>1</v>
      </c>
      <c r="AA87" s="351">
        <f>Y87+W87+U87+S87+Q87</f>
        <v>3643974722</v>
      </c>
      <c r="AB87" s="127" t="s">
        <v>66</v>
      </c>
      <c r="AC87" s="192">
        <f>AC89</f>
        <v>15000</v>
      </c>
      <c r="AD87" s="192">
        <f>AD89</f>
        <v>15750</v>
      </c>
      <c r="AE87" s="203"/>
      <c r="AF87" s="204"/>
      <c r="AG87" s="316" t="s">
        <v>66</v>
      </c>
    </row>
    <row r="88" spans="1:33" s="32" customFormat="1" ht="18" x14ac:dyDescent="0.35">
      <c r="A88" s="270"/>
      <c r="B88" s="316"/>
      <c r="C88" s="316"/>
      <c r="D88" s="270"/>
      <c r="E88" s="143"/>
      <c r="F88" s="136"/>
      <c r="G88" s="136"/>
      <c r="H88" s="136"/>
      <c r="I88" s="136"/>
      <c r="J88" s="314"/>
      <c r="K88" s="158"/>
      <c r="L88" s="159"/>
      <c r="M88" s="159"/>
      <c r="N88" s="315"/>
      <c r="O88" s="316"/>
      <c r="P88" s="316"/>
      <c r="Q88" s="334"/>
      <c r="R88" s="316"/>
      <c r="S88" s="334"/>
      <c r="T88" s="316"/>
      <c r="U88" s="178"/>
      <c r="V88" s="316"/>
      <c r="W88" s="178"/>
      <c r="X88" s="316"/>
      <c r="Y88" s="178"/>
      <c r="Z88" s="316"/>
      <c r="AA88" s="178"/>
      <c r="AB88" s="316"/>
      <c r="AC88" s="162"/>
      <c r="AD88" s="163"/>
      <c r="AE88" s="164"/>
      <c r="AF88" s="165"/>
      <c r="AG88" s="316"/>
    </row>
    <row r="89" spans="1:33" s="32" customFormat="1" ht="33" x14ac:dyDescent="0.35">
      <c r="A89" s="270"/>
      <c r="B89" s="316"/>
      <c r="C89" s="316"/>
      <c r="D89" s="270"/>
      <c r="E89" s="143">
        <v>1</v>
      </c>
      <c r="F89" s="136">
        <v>1</v>
      </c>
      <c r="G89" s="136">
        <v>1</v>
      </c>
      <c r="H89" s="136">
        <v>3</v>
      </c>
      <c r="I89" s="136">
        <v>2</v>
      </c>
      <c r="J89" s="314" t="s">
        <v>340</v>
      </c>
      <c r="K89" s="158" t="s">
        <v>290</v>
      </c>
      <c r="L89" s="159" t="s">
        <v>291</v>
      </c>
      <c r="M89" s="194" t="s">
        <v>312</v>
      </c>
      <c r="N89" s="315"/>
      <c r="O89" s="137" t="s">
        <v>301</v>
      </c>
      <c r="P89" s="137" t="s">
        <v>301</v>
      </c>
      <c r="Q89" s="334">
        <v>47362000</v>
      </c>
      <c r="R89" s="137" t="s">
        <v>301</v>
      </c>
      <c r="S89" s="334">
        <f>Q89+(Q89*10%)-200</f>
        <v>52098000</v>
      </c>
      <c r="T89" s="137" t="s">
        <v>301</v>
      </c>
      <c r="U89" s="334">
        <f>S89+(S89*10%)+400</f>
        <v>57308200</v>
      </c>
      <c r="V89" s="137" t="s">
        <v>301</v>
      </c>
      <c r="W89" s="334">
        <f>U89+(U89*10%)+800</f>
        <v>63039820</v>
      </c>
      <c r="X89" s="137" t="s">
        <v>301</v>
      </c>
      <c r="Y89" s="334">
        <f>W89+(W89*10%)+900</f>
        <v>69344702</v>
      </c>
      <c r="Z89" s="137" t="s">
        <v>301</v>
      </c>
      <c r="AA89" s="178">
        <f>Y89+W89+U89+S89+Q89</f>
        <v>289152722</v>
      </c>
      <c r="AB89" s="316" t="s">
        <v>66</v>
      </c>
      <c r="AC89" s="161">
        <v>15000</v>
      </c>
      <c r="AD89" s="155">
        <f>AC89+(AC89*5%)</f>
        <v>15750</v>
      </c>
      <c r="AE89" s="156" t="s">
        <v>66</v>
      </c>
      <c r="AF89" s="157" t="s">
        <v>81</v>
      </c>
      <c r="AG89" s="316" t="s">
        <v>75</v>
      </c>
    </row>
    <row r="90" spans="1:33" s="32" customFormat="1" ht="33" x14ac:dyDescent="0.35">
      <c r="A90" s="270"/>
      <c r="B90" s="316"/>
      <c r="C90" s="316"/>
      <c r="D90" s="270"/>
      <c r="E90" s="143"/>
      <c r="F90" s="136"/>
      <c r="G90" s="136"/>
      <c r="H90" s="136"/>
      <c r="I90" s="136"/>
      <c r="J90" s="314"/>
      <c r="K90" s="158" t="s">
        <v>293</v>
      </c>
      <c r="L90" s="159" t="s">
        <v>291</v>
      </c>
      <c r="M90" s="160" t="s">
        <v>284</v>
      </c>
      <c r="N90" s="315" t="s">
        <v>341</v>
      </c>
      <c r="O90" s="137" t="s">
        <v>347</v>
      </c>
      <c r="P90" s="137" t="s">
        <v>347</v>
      </c>
      <c r="Q90" s="334"/>
      <c r="R90" s="137" t="s">
        <v>347</v>
      </c>
      <c r="S90" s="334"/>
      <c r="T90" s="137" t="s">
        <v>347</v>
      </c>
      <c r="U90" s="178"/>
      <c r="V90" s="137" t="s">
        <v>347</v>
      </c>
      <c r="W90" s="178"/>
      <c r="X90" s="137" t="s">
        <v>347</v>
      </c>
      <c r="Y90" s="178"/>
      <c r="Z90" s="137" t="s">
        <v>347</v>
      </c>
      <c r="AA90" s="178"/>
      <c r="AB90" s="316"/>
      <c r="AC90" s="161"/>
      <c r="AD90" s="155"/>
      <c r="AE90" s="156"/>
      <c r="AF90" s="157"/>
      <c r="AG90" s="272"/>
    </row>
    <row r="91" spans="1:33" s="32" customFormat="1" ht="66" x14ac:dyDescent="0.35">
      <c r="A91" s="270"/>
      <c r="B91" s="316"/>
      <c r="C91" s="316"/>
      <c r="D91" s="270"/>
      <c r="E91" s="143"/>
      <c r="F91" s="136"/>
      <c r="G91" s="136"/>
      <c r="H91" s="136"/>
      <c r="I91" s="136"/>
      <c r="J91" s="314"/>
      <c r="K91" s="158"/>
      <c r="L91" s="159"/>
      <c r="M91" s="160" t="s">
        <v>303</v>
      </c>
      <c r="N91" s="315" t="s">
        <v>342</v>
      </c>
      <c r="O91" s="137" t="s">
        <v>348</v>
      </c>
      <c r="P91" s="137" t="s">
        <v>348</v>
      </c>
      <c r="Q91" s="334"/>
      <c r="R91" s="137" t="s">
        <v>348</v>
      </c>
      <c r="S91" s="334"/>
      <c r="T91" s="137" t="s">
        <v>348</v>
      </c>
      <c r="U91" s="178"/>
      <c r="V91" s="137" t="s">
        <v>348</v>
      </c>
      <c r="W91" s="178"/>
      <c r="X91" s="137" t="s">
        <v>348</v>
      </c>
      <c r="Y91" s="178"/>
      <c r="Z91" s="137" t="s">
        <v>348</v>
      </c>
      <c r="AA91" s="178"/>
      <c r="AB91" s="316"/>
      <c r="AC91" s="161"/>
      <c r="AD91" s="155"/>
      <c r="AE91" s="156"/>
      <c r="AF91" s="157"/>
      <c r="AG91" s="272"/>
    </row>
    <row r="92" spans="1:33" s="32" customFormat="1" ht="49.5" x14ac:dyDescent="0.35">
      <c r="A92" s="270"/>
      <c r="B92" s="316"/>
      <c r="C92" s="316"/>
      <c r="D92" s="270"/>
      <c r="E92" s="143"/>
      <c r="F92" s="136"/>
      <c r="G92" s="136"/>
      <c r="H92" s="136"/>
      <c r="I92" s="136"/>
      <c r="J92" s="314"/>
      <c r="K92" s="158"/>
      <c r="L92" s="159"/>
      <c r="M92" s="160" t="s">
        <v>318</v>
      </c>
      <c r="N92" s="315" t="s">
        <v>343</v>
      </c>
      <c r="O92" s="137" t="s">
        <v>349</v>
      </c>
      <c r="P92" s="137" t="s">
        <v>349</v>
      </c>
      <c r="Q92" s="334"/>
      <c r="R92" s="137" t="s">
        <v>349</v>
      </c>
      <c r="S92" s="334"/>
      <c r="T92" s="137" t="s">
        <v>349</v>
      </c>
      <c r="U92" s="178"/>
      <c r="V92" s="137" t="s">
        <v>349</v>
      </c>
      <c r="W92" s="178"/>
      <c r="X92" s="137" t="s">
        <v>349</v>
      </c>
      <c r="Y92" s="178"/>
      <c r="Z92" s="137" t="s">
        <v>349</v>
      </c>
      <c r="AA92" s="178"/>
      <c r="AB92" s="316"/>
      <c r="AC92" s="161"/>
      <c r="AD92" s="155"/>
      <c r="AE92" s="156"/>
      <c r="AF92" s="157"/>
      <c r="AG92" s="272"/>
    </row>
    <row r="93" spans="1:33" s="32" customFormat="1" ht="49.5" x14ac:dyDescent="0.35">
      <c r="A93" s="270"/>
      <c r="B93" s="316"/>
      <c r="C93" s="316"/>
      <c r="D93" s="270"/>
      <c r="E93" s="143"/>
      <c r="F93" s="136"/>
      <c r="G93" s="136"/>
      <c r="H93" s="136"/>
      <c r="I93" s="136"/>
      <c r="J93" s="314"/>
      <c r="K93" s="158"/>
      <c r="L93" s="159"/>
      <c r="M93" s="160" t="s">
        <v>331</v>
      </c>
      <c r="N93" s="315" t="s">
        <v>344</v>
      </c>
      <c r="O93" s="137" t="s">
        <v>350</v>
      </c>
      <c r="P93" s="137" t="s">
        <v>350</v>
      </c>
      <c r="Q93" s="334"/>
      <c r="R93" s="137" t="s">
        <v>350</v>
      </c>
      <c r="S93" s="334"/>
      <c r="T93" s="137" t="s">
        <v>350</v>
      </c>
      <c r="U93" s="178"/>
      <c r="V93" s="137" t="s">
        <v>350</v>
      </c>
      <c r="W93" s="178"/>
      <c r="X93" s="137" t="s">
        <v>350</v>
      </c>
      <c r="Y93" s="178"/>
      <c r="Z93" s="137" t="s">
        <v>350</v>
      </c>
      <c r="AA93" s="178"/>
      <c r="AB93" s="316"/>
      <c r="AC93" s="161"/>
      <c r="AD93" s="155"/>
      <c r="AE93" s="156"/>
      <c r="AF93" s="157"/>
      <c r="AG93" s="272"/>
    </row>
    <row r="94" spans="1:33" s="32" customFormat="1" ht="18" x14ac:dyDescent="0.35">
      <c r="A94" s="270"/>
      <c r="B94" s="316"/>
      <c r="C94" s="316"/>
      <c r="D94" s="270"/>
      <c r="E94" s="143"/>
      <c r="F94" s="136"/>
      <c r="G94" s="136"/>
      <c r="H94" s="136"/>
      <c r="I94" s="136"/>
      <c r="J94" s="314"/>
      <c r="K94" s="158" t="s">
        <v>294</v>
      </c>
      <c r="L94" s="159" t="s">
        <v>291</v>
      </c>
      <c r="M94" s="527" t="s">
        <v>345</v>
      </c>
      <c r="N94" s="528"/>
      <c r="O94" s="166">
        <v>1</v>
      </c>
      <c r="P94" s="166">
        <v>1</v>
      </c>
      <c r="Q94" s="334"/>
      <c r="R94" s="166">
        <v>1</v>
      </c>
      <c r="S94" s="334"/>
      <c r="T94" s="166">
        <v>1</v>
      </c>
      <c r="U94" s="178"/>
      <c r="V94" s="166">
        <v>1</v>
      </c>
      <c r="W94" s="178"/>
      <c r="X94" s="166">
        <v>1</v>
      </c>
      <c r="Y94" s="178"/>
      <c r="Z94" s="166">
        <v>1</v>
      </c>
      <c r="AA94" s="178"/>
      <c r="AB94" s="316"/>
      <c r="AC94" s="161"/>
      <c r="AD94" s="155"/>
      <c r="AE94" s="156"/>
      <c r="AF94" s="157"/>
      <c r="AG94" s="272"/>
    </row>
    <row r="95" spans="1:33" s="32" customFormat="1" ht="33" x14ac:dyDescent="0.35">
      <c r="A95" s="270"/>
      <c r="B95" s="316"/>
      <c r="C95" s="316"/>
      <c r="D95" s="270"/>
      <c r="E95" s="143"/>
      <c r="F95" s="136"/>
      <c r="G95" s="136"/>
      <c r="H95" s="136"/>
      <c r="I95" s="136"/>
      <c r="J95" s="314"/>
      <c r="K95" s="137" t="s">
        <v>295</v>
      </c>
      <c r="L95" s="314" t="s">
        <v>291</v>
      </c>
      <c r="M95" s="176" t="s">
        <v>420</v>
      </c>
      <c r="N95" s="315"/>
      <c r="O95" s="137"/>
      <c r="P95" s="137"/>
      <c r="Q95" s="334"/>
      <c r="R95" s="137"/>
      <c r="S95" s="334"/>
      <c r="T95" s="137"/>
      <c r="U95" s="178"/>
      <c r="V95" s="137"/>
      <c r="W95" s="178"/>
      <c r="X95" s="137"/>
      <c r="Y95" s="178"/>
      <c r="Z95" s="137"/>
      <c r="AA95" s="178"/>
      <c r="AB95" s="316"/>
      <c r="AC95" s="161"/>
      <c r="AD95" s="155"/>
      <c r="AE95" s="156"/>
      <c r="AF95" s="157"/>
      <c r="AG95" s="272"/>
    </row>
    <row r="96" spans="1:33" s="32" customFormat="1" ht="33" x14ac:dyDescent="0.35">
      <c r="A96" s="270"/>
      <c r="B96" s="179"/>
      <c r="C96" s="179"/>
      <c r="D96" s="284"/>
      <c r="E96" s="180"/>
      <c r="F96" s="181"/>
      <c r="G96" s="181"/>
      <c r="H96" s="181"/>
      <c r="I96" s="181"/>
      <c r="J96" s="182"/>
      <c r="K96" s="183" t="s">
        <v>297</v>
      </c>
      <c r="L96" s="182" t="s">
        <v>291</v>
      </c>
      <c r="M96" s="184" t="s">
        <v>298</v>
      </c>
      <c r="N96" s="185"/>
      <c r="O96" s="183"/>
      <c r="P96" s="183"/>
      <c r="Q96" s="337"/>
      <c r="R96" s="183"/>
      <c r="S96" s="337"/>
      <c r="T96" s="183"/>
      <c r="U96" s="350"/>
      <c r="V96" s="183"/>
      <c r="W96" s="350"/>
      <c r="X96" s="183"/>
      <c r="Y96" s="350"/>
      <c r="Z96" s="183"/>
      <c r="AA96" s="350"/>
      <c r="AB96" s="179"/>
      <c r="AC96" s="186"/>
      <c r="AD96" s="187"/>
      <c r="AE96" s="188"/>
      <c r="AF96" s="189"/>
      <c r="AG96" s="285"/>
    </row>
    <row r="97" spans="1:33" s="32" customFormat="1" ht="18" x14ac:dyDescent="0.35">
      <c r="A97" s="270"/>
      <c r="B97" s="316"/>
      <c r="C97" s="316"/>
      <c r="D97" s="270"/>
      <c r="E97" s="143"/>
      <c r="F97" s="136"/>
      <c r="G97" s="136"/>
      <c r="H97" s="136"/>
      <c r="I97" s="136"/>
      <c r="J97" s="314"/>
      <c r="K97" s="137"/>
      <c r="L97" s="314"/>
      <c r="M97" s="176"/>
      <c r="N97" s="315"/>
      <c r="O97" s="137"/>
      <c r="P97" s="137"/>
      <c r="Q97" s="334"/>
      <c r="R97" s="137"/>
      <c r="S97" s="334"/>
      <c r="T97" s="137"/>
      <c r="U97" s="178"/>
      <c r="V97" s="137"/>
      <c r="W97" s="178"/>
      <c r="X97" s="137"/>
      <c r="Y97" s="178"/>
      <c r="Z97" s="137"/>
      <c r="AA97" s="178"/>
      <c r="AB97" s="316"/>
      <c r="AC97" s="161"/>
      <c r="AD97" s="155"/>
      <c r="AE97" s="156"/>
      <c r="AF97" s="157"/>
      <c r="AG97" s="272"/>
    </row>
    <row r="98" spans="1:33" s="32" customFormat="1" ht="33" x14ac:dyDescent="0.35">
      <c r="A98" s="270"/>
      <c r="B98" s="316"/>
      <c r="C98" s="316"/>
      <c r="D98" s="270"/>
      <c r="E98" s="143">
        <v>1</v>
      </c>
      <c r="F98" s="136">
        <v>1</v>
      </c>
      <c r="G98" s="136">
        <v>1</v>
      </c>
      <c r="H98" s="136">
        <v>3</v>
      </c>
      <c r="I98" s="136">
        <v>3</v>
      </c>
      <c r="J98" s="314" t="s">
        <v>351</v>
      </c>
      <c r="K98" s="158" t="s">
        <v>290</v>
      </c>
      <c r="L98" s="159" t="s">
        <v>291</v>
      </c>
      <c r="M98" s="194" t="s">
        <v>312</v>
      </c>
      <c r="N98" s="315"/>
      <c r="O98" s="137" t="s">
        <v>301</v>
      </c>
      <c r="P98" s="137" t="s">
        <v>301</v>
      </c>
      <c r="Q98" s="334">
        <v>536773000</v>
      </c>
      <c r="R98" s="137" t="s">
        <v>301</v>
      </c>
      <c r="S98" s="334">
        <f>Q98+(Q98*10%)-22706500+200</f>
        <v>567744000</v>
      </c>
      <c r="T98" s="137" t="s">
        <v>301</v>
      </c>
      <c r="U98" s="334">
        <f>S98+(S98*10%)-400</f>
        <v>624518000</v>
      </c>
      <c r="V98" s="137" t="s">
        <v>301</v>
      </c>
      <c r="W98" s="334">
        <f>U98+(U98*10%)-800</f>
        <v>686969000</v>
      </c>
      <c r="X98" s="137" t="s">
        <v>301</v>
      </c>
      <c r="Y98" s="334">
        <f>W98+(W98*10%)-900</f>
        <v>755665000</v>
      </c>
      <c r="Z98" s="137" t="s">
        <v>301</v>
      </c>
      <c r="AA98" s="178">
        <f>Y98+W98+U98+S98+Q98</f>
        <v>3171669000</v>
      </c>
      <c r="AB98" s="316" t="s">
        <v>66</v>
      </c>
      <c r="AC98" s="161"/>
      <c r="AD98" s="155"/>
      <c r="AE98" s="156"/>
      <c r="AF98" s="157"/>
      <c r="AG98" s="316" t="s">
        <v>75</v>
      </c>
    </row>
    <row r="99" spans="1:33" s="32" customFormat="1" ht="49.5" x14ac:dyDescent="0.35">
      <c r="A99" s="270"/>
      <c r="B99" s="316"/>
      <c r="C99" s="316"/>
      <c r="D99" s="270"/>
      <c r="E99" s="143"/>
      <c r="F99" s="136"/>
      <c r="G99" s="136"/>
      <c r="H99" s="136"/>
      <c r="I99" s="136"/>
      <c r="J99" s="314"/>
      <c r="K99" s="158" t="s">
        <v>293</v>
      </c>
      <c r="L99" s="159" t="s">
        <v>291</v>
      </c>
      <c r="M99" s="160" t="s">
        <v>284</v>
      </c>
      <c r="N99" s="321" t="s">
        <v>354</v>
      </c>
      <c r="O99" s="137" t="s">
        <v>360</v>
      </c>
      <c r="P99" s="137" t="s">
        <v>360</v>
      </c>
      <c r="Q99" s="334"/>
      <c r="R99" s="137" t="s">
        <v>360</v>
      </c>
      <c r="S99" s="334"/>
      <c r="T99" s="137" t="s">
        <v>360</v>
      </c>
      <c r="U99" s="178"/>
      <c r="V99" s="137" t="s">
        <v>360</v>
      </c>
      <c r="W99" s="178"/>
      <c r="X99" s="137" t="s">
        <v>360</v>
      </c>
      <c r="Y99" s="178"/>
      <c r="Z99" s="137" t="s">
        <v>360</v>
      </c>
      <c r="AA99" s="178"/>
      <c r="AB99" s="316"/>
      <c r="AC99" s="161"/>
      <c r="AD99" s="155"/>
      <c r="AE99" s="156"/>
      <c r="AF99" s="157"/>
      <c r="AG99" s="272"/>
    </row>
    <row r="100" spans="1:33" s="32" customFormat="1" ht="33" x14ac:dyDescent="0.35">
      <c r="A100" s="270"/>
      <c r="B100" s="316"/>
      <c r="C100" s="316"/>
      <c r="D100" s="270"/>
      <c r="E100" s="143"/>
      <c r="F100" s="136"/>
      <c r="G100" s="136"/>
      <c r="H100" s="136"/>
      <c r="I100" s="136"/>
      <c r="J100" s="314"/>
      <c r="K100" s="158"/>
      <c r="L100" s="159"/>
      <c r="M100" s="160" t="s">
        <v>303</v>
      </c>
      <c r="N100" s="321" t="s">
        <v>355</v>
      </c>
      <c r="O100" s="137" t="s">
        <v>361</v>
      </c>
      <c r="P100" s="137" t="s">
        <v>361</v>
      </c>
      <c r="Q100" s="334"/>
      <c r="R100" s="137" t="s">
        <v>361</v>
      </c>
      <c r="S100" s="334"/>
      <c r="T100" s="137" t="s">
        <v>361</v>
      </c>
      <c r="U100" s="178"/>
      <c r="V100" s="137" t="s">
        <v>361</v>
      </c>
      <c r="W100" s="178"/>
      <c r="X100" s="137" t="s">
        <v>361</v>
      </c>
      <c r="Y100" s="178"/>
      <c r="Z100" s="137" t="s">
        <v>361</v>
      </c>
      <c r="AA100" s="178"/>
      <c r="AB100" s="316"/>
      <c r="AC100" s="161"/>
      <c r="AD100" s="155"/>
      <c r="AE100" s="156"/>
      <c r="AF100" s="157"/>
      <c r="AG100" s="272"/>
    </row>
    <row r="101" spans="1:33" s="32" customFormat="1" ht="33" x14ac:dyDescent="0.35">
      <c r="A101" s="270"/>
      <c r="B101" s="316"/>
      <c r="C101" s="316"/>
      <c r="D101" s="270"/>
      <c r="E101" s="143"/>
      <c r="F101" s="136"/>
      <c r="G101" s="136"/>
      <c r="H101" s="136"/>
      <c r="I101" s="136"/>
      <c r="J101" s="314"/>
      <c r="K101" s="158"/>
      <c r="L101" s="159"/>
      <c r="M101" s="160" t="s">
        <v>318</v>
      </c>
      <c r="N101" s="321" t="s">
        <v>356</v>
      </c>
      <c r="O101" s="137" t="s">
        <v>362</v>
      </c>
      <c r="P101" s="137" t="s">
        <v>362</v>
      </c>
      <c r="Q101" s="334"/>
      <c r="R101" s="137" t="s">
        <v>362</v>
      </c>
      <c r="S101" s="334"/>
      <c r="T101" s="137" t="s">
        <v>362</v>
      </c>
      <c r="U101" s="178"/>
      <c r="V101" s="137" t="s">
        <v>362</v>
      </c>
      <c r="W101" s="178"/>
      <c r="X101" s="137" t="s">
        <v>362</v>
      </c>
      <c r="Y101" s="178"/>
      <c r="Z101" s="137" t="s">
        <v>362</v>
      </c>
      <c r="AA101" s="178"/>
      <c r="AB101" s="316"/>
      <c r="AC101" s="161"/>
      <c r="AD101" s="155"/>
      <c r="AE101" s="156"/>
      <c r="AF101" s="157"/>
      <c r="AG101" s="272"/>
    </row>
    <row r="102" spans="1:33" s="32" customFormat="1" ht="66" x14ac:dyDescent="0.35">
      <c r="A102" s="270"/>
      <c r="B102" s="316"/>
      <c r="C102" s="316"/>
      <c r="D102" s="270"/>
      <c r="E102" s="143"/>
      <c r="F102" s="136"/>
      <c r="G102" s="136"/>
      <c r="H102" s="136"/>
      <c r="I102" s="136"/>
      <c r="J102" s="314"/>
      <c r="K102" s="158"/>
      <c r="L102" s="159"/>
      <c r="M102" s="160" t="s">
        <v>331</v>
      </c>
      <c r="N102" s="321" t="s">
        <v>357</v>
      </c>
      <c r="O102" s="137" t="s">
        <v>363</v>
      </c>
      <c r="P102" s="137" t="s">
        <v>363</v>
      </c>
      <c r="Q102" s="334"/>
      <c r="R102" s="137" t="s">
        <v>363</v>
      </c>
      <c r="S102" s="334"/>
      <c r="T102" s="137" t="s">
        <v>363</v>
      </c>
      <c r="U102" s="178"/>
      <c r="V102" s="137" t="s">
        <v>363</v>
      </c>
      <c r="W102" s="178"/>
      <c r="X102" s="137" t="s">
        <v>363</v>
      </c>
      <c r="Y102" s="178"/>
      <c r="Z102" s="137" t="s">
        <v>363</v>
      </c>
      <c r="AA102" s="178"/>
      <c r="AB102" s="316"/>
      <c r="AC102" s="161"/>
      <c r="AD102" s="155"/>
      <c r="AE102" s="156"/>
      <c r="AF102" s="157"/>
      <c r="AG102" s="272"/>
    </row>
    <row r="103" spans="1:33" s="32" customFormat="1" ht="33" x14ac:dyDescent="0.35">
      <c r="A103" s="270"/>
      <c r="B103" s="316"/>
      <c r="C103" s="316"/>
      <c r="D103" s="270"/>
      <c r="E103" s="143"/>
      <c r="F103" s="136"/>
      <c r="G103" s="136"/>
      <c r="H103" s="136"/>
      <c r="I103" s="136"/>
      <c r="J103" s="314"/>
      <c r="K103" s="158"/>
      <c r="L103" s="159"/>
      <c r="M103" s="160" t="s">
        <v>353</v>
      </c>
      <c r="N103" s="321" t="s">
        <v>358</v>
      </c>
      <c r="O103" s="137" t="s">
        <v>363</v>
      </c>
      <c r="P103" s="137" t="s">
        <v>363</v>
      </c>
      <c r="Q103" s="334"/>
      <c r="R103" s="137" t="s">
        <v>363</v>
      </c>
      <c r="S103" s="334"/>
      <c r="T103" s="137" t="s">
        <v>363</v>
      </c>
      <c r="U103" s="178"/>
      <c r="V103" s="137" t="s">
        <v>363</v>
      </c>
      <c r="W103" s="178"/>
      <c r="X103" s="137" t="s">
        <v>363</v>
      </c>
      <c r="Y103" s="178"/>
      <c r="Z103" s="137" t="s">
        <v>363</v>
      </c>
      <c r="AA103" s="178"/>
      <c r="AB103" s="316"/>
      <c r="AC103" s="161"/>
      <c r="AD103" s="155"/>
      <c r="AE103" s="156"/>
      <c r="AF103" s="157"/>
      <c r="AG103" s="272"/>
    </row>
    <row r="104" spans="1:33" s="32" customFormat="1" ht="33" x14ac:dyDescent="0.35">
      <c r="A104" s="270"/>
      <c r="B104" s="316"/>
      <c r="C104" s="316"/>
      <c r="D104" s="270"/>
      <c r="E104" s="143"/>
      <c r="F104" s="136"/>
      <c r="G104" s="136"/>
      <c r="H104" s="136"/>
      <c r="I104" s="136"/>
      <c r="J104" s="314"/>
      <c r="K104" s="158"/>
      <c r="L104" s="159"/>
      <c r="M104" s="160" t="s">
        <v>352</v>
      </c>
      <c r="N104" s="205" t="s">
        <v>359</v>
      </c>
      <c r="O104" s="206" t="s">
        <v>364</v>
      </c>
      <c r="P104" s="206" t="s">
        <v>364</v>
      </c>
      <c r="Q104" s="334"/>
      <c r="R104" s="206" t="s">
        <v>364</v>
      </c>
      <c r="S104" s="334"/>
      <c r="T104" s="206" t="s">
        <v>364</v>
      </c>
      <c r="U104" s="178"/>
      <c r="V104" s="206" t="s">
        <v>364</v>
      </c>
      <c r="W104" s="178"/>
      <c r="X104" s="206" t="s">
        <v>364</v>
      </c>
      <c r="Y104" s="178"/>
      <c r="Z104" s="206" t="s">
        <v>364</v>
      </c>
      <c r="AA104" s="178"/>
      <c r="AB104" s="316"/>
      <c r="AC104" s="161"/>
      <c r="AD104" s="155"/>
      <c r="AE104" s="156"/>
      <c r="AF104" s="157"/>
      <c r="AG104" s="272"/>
    </row>
    <row r="105" spans="1:33" s="32" customFormat="1" ht="82.5" x14ac:dyDescent="0.35">
      <c r="A105" s="270"/>
      <c r="B105" s="316"/>
      <c r="C105" s="316"/>
      <c r="D105" s="270"/>
      <c r="E105" s="143"/>
      <c r="F105" s="136"/>
      <c r="G105" s="136"/>
      <c r="H105" s="136"/>
      <c r="I105" s="136"/>
      <c r="J105" s="314"/>
      <c r="K105" s="158"/>
      <c r="L105" s="159"/>
      <c r="M105" s="160" t="s">
        <v>402</v>
      </c>
      <c r="N105" s="207" t="s">
        <v>403</v>
      </c>
      <c r="O105" s="158"/>
      <c r="P105" s="158"/>
      <c r="Q105" s="334"/>
      <c r="R105" s="158"/>
      <c r="S105" s="334"/>
      <c r="T105" s="158"/>
      <c r="U105" s="178"/>
      <c r="V105" s="158"/>
      <c r="W105" s="178"/>
      <c r="X105" s="158"/>
      <c r="Y105" s="178"/>
      <c r="Z105" s="158"/>
      <c r="AA105" s="178"/>
      <c r="AB105" s="316"/>
      <c r="AC105" s="161"/>
      <c r="AD105" s="155"/>
      <c r="AE105" s="156"/>
      <c r="AF105" s="157"/>
      <c r="AG105" s="272"/>
    </row>
    <row r="106" spans="1:33" s="32" customFormat="1" ht="18" x14ac:dyDescent="0.35">
      <c r="A106" s="270"/>
      <c r="B106" s="316"/>
      <c r="C106" s="316"/>
      <c r="D106" s="270"/>
      <c r="E106" s="143"/>
      <c r="F106" s="136"/>
      <c r="G106" s="136"/>
      <c r="H106" s="136"/>
      <c r="I106" s="136"/>
      <c r="J106" s="314"/>
      <c r="K106" s="158"/>
      <c r="L106" s="159"/>
      <c r="M106" s="160"/>
      <c r="N106" s="208" t="s">
        <v>406</v>
      </c>
      <c r="O106" s="209" t="s">
        <v>405</v>
      </c>
      <c r="P106" s="209" t="s">
        <v>405</v>
      </c>
      <c r="Q106" s="334"/>
      <c r="R106" s="209" t="s">
        <v>405</v>
      </c>
      <c r="S106" s="334"/>
      <c r="T106" s="209" t="s">
        <v>405</v>
      </c>
      <c r="U106" s="178"/>
      <c r="V106" s="209" t="s">
        <v>405</v>
      </c>
      <c r="W106" s="178"/>
      <c r="X106" s="209" t="s">
        <v>405</v>
      </c>
      <c r="Y106" s="178"/>
      <c r="Z106" s="209" t="s">
        <v>405</v>
      </c>
      <c r="AA106" s="178"/>
      <c r="AB106" s="316"/>
      <c r="AC106" s="161"/>
      <c r="AD106" s="155"/>
      <c r="AE106" s="156"/>
      <c r="AF106" s="157"/>
      <c r="AG106" s="272"/>
    </row>
    <row r="107" spans="1:33" s="32" customFormat="1" ht="18" x14ac:dyDescent="0.35">
      <c r="A107" s="270"/>
      <c r="B107" s="316"/>
      <c r="C107" s="316"/>
      <c r="D107" s="270"/>
      <c r="E107" s="143"/>
      <c r="F107" s="136"/>
      <c r="G107" s="136"/>
      <c r="H107" s="136"/>
      <c r="I107" s="136"/>
      <c r="J107" s="314"/>
      <c r="K107" s="158"/>
      <c r="L107" s="159"/>
      <c r="M107" s="160"/>
      <c r="N107" s="208" t="s">
        <v>404</v>
      </c>
      <c r="O107" s="209" t="s">
        <v>407</v>
      </c>
      <c r="P107" s="209" t="s">
        <v>407</v>
      </c>
      <c r="Q107" s="334"/>
      <c r="R107" s="209" t="s">
        <v>407</v>
      </c>
      <c r="S107" s="334"/>
      <c r="T107" s="209" t="s">
        <v>407</v>
      </c>
      <c r="U107" s="178"/>
      <c r="V107" s="209" t="s">
        <v>407</v>
      </c>
      <c r="W107" s="178"/>
      <c r="X107" s="209" t="s">
        <v>407</v>
      </c>
      <c r="Y107" s="178"/>
      <c r="Z107" s="209" t="s">
        <v>407</v>
      </c>
      <c r="AA107" s="178"/>
      <c r="AB107" s="316"/>
      <c r="AC107" s="161"/>
      <c r="AD107" s="155"/>
      <c r="AE107" s="156"/>
      <c r="AF107" s="157"/>
      <c r="AG107" s="272"/>
    </row>
    <row r="108" spans="1:33" s="32" customFormat="1" ht="66" x14ac:dyDescent="0.35">
      <c r="A108" s="270"/>
      <c r="B108" s="316"/>
      <c r="C108" s="316"/>
      <c r="D108" s="270"/>
      <c r="E108" s="143"/>
      <c r="F108" s="136"/>
      <c r="G108" s="136"/>
      <c r="H108" s="136"/>
      <c r="I108" s="136"/>
      <c r="J108" s="314"/>
      <c r="K108" s="158" t="s">
        <v>294</v>
      </c>
      <c r="L108" s="159" t="s">
        <v>291</v>
      </c>
      <c r="M108" s="160" t="s">
        <v>284</v>
      </c>
      <c r="N108" s="321" t="s">
        <v>365</v>
      </c>
      <c r="O108" s="137" t="s">
        <v>360</v>
      </c>
      <c r="P108" s="137" t="s">
        <v>360</v>
      </c>
      <c r="Q108" s="334"/>
      <c r="R108" s="137" t="s">
        <v>360</v>
      </c>
      <c r="S108" s="334"/>
      <c r="T108" s="137" t="s">
        <v>360</v>
      </c>
      <c r="U108" s="178"/>
      <c r="V108" s="137" t="s">
        <v>360</v>
      </c>
      <c r="W108" s="178"/>
      <c r="X108" s="137" t="s">
        <v>360</v>
      </c>
      <c r="Y108" s="178"/>
      <c r="Z108" s="137" t="s">
        <v>360</v>
      </c>
      <c r="AA108" s="178"/>
      <c r="AB108" s="316"/>
      <c r="AC108" s="161"/>
      <c r="AD108" s="155"/>
      <c r="AE108" s="156"/>
      <c r="AF108" s="157"/>
      <c r="AG108" s="272"/>
    </row>
    <row r="109" spans="1:33" s="32" customFormat="1" ht="33" x14ac:dyDescent="0.35">
      <c r="A109" s="270"/>
      <c r="B109" s="316"/>
      <c r="C109" s="316"/>
      <c r="D109" s="270"/>
      <c r="E109" s="143"/>
      <c r="F109" s="136"/>
      <c r="G109" s="136"/>
      <c r="H109" s="136"/>
      <c r="I109" s="136"/>
      <c r="J109" s="314"/>
      <c r="K109" s="158"/>
      <c r="L109" s="159"/>
      <c r="M109" s="160" t="s">
        <v>303</v>
      </c>
      <c r="N109" s="321" t="s">
        <v>366</v>
      </c>
      <c r="O109" s="137" t="s">
        <v>361</v>
      </c>
      <c r="P109" s="137" t="s">
        <v>361</v>
      </c>
      <c r="Q109" s="334"/>
      <c r="R109" s="137" t="s">
        <v>361</v>
      </c>
      <c r="S109" s="334"/>
      <c r="T109" s="137" t="s">
        <v>361</v>
      </c>
      <c r="U109" s="178"/>
      <c r="V109" s="137" t="s">
        <v>361</v>
      </c>
      <c r="W109" s="178"/>
      <c r="X109" s="137" t="s">
        <v>361</v>
      </c>
      <c r="Y109" s="178"/>
      <c r="Z109" s="137" t="s">
        <v>361</v>
      </c>
      <c r="AA109" s="178"/>
      <c r="AB109" s="316"/>
      <c r="AC109" s="161"/>
      <c r="AD109" s="155"/>
      <c r="AE109" s="156"/>
      <c r="AF109" s="157"/>
      <c r="AG109" s="272"/>
    </row>
    <row r="110" spans="1:33" s="32" customFormat="1" ht="33" x14ac:dyDescent="0.35">
      <c r="A110" s="270"/>
      <c r="B110" s="316"/>
      <c r="C110" s="316"/>
      <c r="D110" s="270"/>
      <c r="E110" s="143"/>
      <c r="F110" s="136"/>
      <c r="G110" s="136"/>
      <c r="H110" s="136"/>
      <c r="I110" s="136"/>
      <c r="J110" s="314"/>
      <c r="K110" s="158"/>
      <c r="L110" s="159"/>
      <c r="M110" s="160" t="s">
        <v>318</v>
      </c>
      <c r="N110" s="321" t="s">
        <v>356</v>
      </c>
      <c r="O110" s="137" t="s">
        <v>362</v>
      </c>
      <c r="P110" s="137" t="s">
        <v>362</v>
      </c>
      <c r="Q110" s="334"/>
      <c r="R110" s="137" t="s">
        <v>362</v>
      </c>
      <c r="S110" s="334"/>
      <c r="T110" s="137" t="s">
        <v>362</v>
      </c>
      <c r="U110" s="178"/>
      <c r="V110" s="137" t="s">
        <v>362</v>
      </c>
      <c r="W110" s="178"/>
      <c r="X110" s="137" t="s">
        <v>362</v>
      </c>
      <c r="Y110" s="178"/>
      <c r="Z110" s="137" t="s">
        <v>362</v>
      </c>
      <c r="AA110" s="178"/>
      <c r="AB110" s="316"/>
      <c r="AC110" s="161"/>
      <c r="AD110" s="155"/>
      <c r="AE110" s="156"/>
      <c r="AF110" s="157"/>
      <c r="AG110" s="272"/>
    </row>
    <row r="111" spans="1:33" s="32" customFormat="1" ht="66" x14ac:dyDescent="0.35">
      <c r="A111" s="270"/>
      <c r="B111" s="316"/>
      <c r="C111" s="316"/>
      <c r="D111" s="270"/>
      <c r="E111" s="143"/>
      <c r="F111" s="136"/>
      <c r="G111" s="136"/>
      <c r="H111" s="136"/>
      <c r="I111" s="136"/>
      <c r="J111" s="314"/>
      <c r="K111" s="158"/>
      <c r="L111" s="159"/>
      <c r="M111" s="160" t="s">
        <v>331</v>
      </c>
      <c r="N111" s="321" t="s">
        <v>357</v>
      </c>
      <c r="O111" s="137" t="s">
        <v>363</v>
      </c>
      <c r="P111" s="137" t="s">
        <v>363</v>
      </c>
      <c r="Q111" s="334"/>
      <c r="R111" s="137" t="s">
        <v>363</v>
      </c>
      <c r="S111" s="334"/>
      <c r="T111" s="137" t="s">
        <v>363</v>
      </c>
      <c r="U111" s="178"/>
      <c r="V111" s="137" t="s">
        <v>363</v>
      </c>
      <c r="W111" s="178"/>
      <c r="X111" s="137" t="s">
        <v>363</v>
      </c>
      <c r="Y111" s="178"/>
      <c r="Z111" s="137" t="s">
        <v>363</v>
      </c>
      <c r="AA111" s="178"/>
      <c r="AB111" s="316"/>
      <c r="AC111" s="161"/>
      <c r="AD111" s="155"/>
      <c r="AE111" s="156"/>
      <c r="AF111" s="157"/>
      <c r="AG111" s="272"/>
    </row>
    <row r="112" spans="1:33" s="32" customFormat="1" ht="33" x14ac:dyDescent="0.35">
      <c r="A112" s="270"/>
      <c r="B112" s="316"/>
      <c r="C112" s="316"/>
      <c r="D112" s="270"/>
      <c r="E112" s="143"/>
      <c r="F112" s="136"/>
      <c r="G112" s="136"/>
      <c r="H112" s="136"/>
      <c r="I112" s="136"/>
      <c r="J112" s="314"/>
      <c r="K112" s="158"/>
      <c r="L112" s="159"/>
      <c r="M112" s="160" t="s">
        <v>353</v>
      </c>
      <c r="N112" s="321" t="s">
        <v>358</v>
      </c>
      <c r="O112" s="137" t="s">
        <v>363</v>
      </c>
      <c r="P112" s="137" t="s">
        <v>363</v>
      </c>
      <c r="Q112" s="334"/>
      <c r="R112" s="137" t="s">
        <v>363</v>
      </c>
      <c r="S112" s="334"/>
      <c r="T112" s="137" t="s">
        <v>363</v>
      </c>
      <c r="U112" s="178"/>
      <c r="V112" s="137" t="s">
        <v>363</v>
      </c>
      <c r="W112" s="178"/>
      <c r="X112" s="137" t="s">
        <v>363</v>
      </c>
      <c r="Y112" s="178"/>
      <c r="Z112" s="137" t="s">
        <v>363</v>
      </c>
      <c r="AA112" s="178"/>
      <c r="AB112" s="316"/>
      <c r="AC112" s="161"/>
      <c r="AD112" s="155"/>
      <c r="AE112" s="156"/>
      <c r="AF112" s="157"/>
      <c r="AG112" s="272"/>
    </row>
    <row r="113" spans="1:33" s="32" customFormat="1" ht="82.5" x14ac:dyDescent="0.35">
      <c r="A113" s="270"/>
      <c r="B113" s="316"/>
      <c r="C113" s="316"/>
      <c r="D113" s="270"/>
      <c r="E113" s="143"/>
      <c r="F113" s="136"/>
      <c r="G113" s="136"/>
      <c r="H113" s="136"/>
      <c r="I113" s="136"/>
      <c r="J113" s="314"/>
      <c r="K113" s="158"/>
      <c r="L113" s="159"/>
      <c r="M113" s="160" t="s">
        <v>352</v>
      </c>
      <c r="N113" s="315" t="s">
        <v>367</v>
      </c>
      <c r="O113" s="206" t="s">
        <v>364</v>
      </c>
      <c r="P113" s="206" t="s">
        <v>364</v>
      </c>
      <c r="Q113" s="334"/>
      <c r="R113" s="206" t="s">
        <v>364</v>
      </c>
      <c r="S113" s="334"/>
      <c r="T113" s="206" t="s">
        <v>364</v>
      </c>
      <c r="U113" s="178"/>
      <c r="V113" s="206" t="s">
        <v>364</v>
      </c>
      <c r="W113" s="178"/>
      <c r="X113" s="206" t="s">
        <v>364</v>
      </c>
      <c r="Y113" s="178"/>
      <c r="Z113" s="206" t="s">
        <v>364</v>
      </c>
      <c r="AA113" s="178"/>
      <c r="AB113" s="316"/>
      <c r="AC113" s="161"/>
      <c r="AD113" s="155"/>
      <c r="AE113" s="156"/>
      <c r="AF113" s="157"/>
      <c r="AG113" s="272"/>
    </row>
    <row r="114" spans="1:33" s="32" customFormat="1" ht="33" x14ac:dyDescent="0.35">
      <c r="A114" s="270"/>
      <c r="B114" s="316"/>
      <c r="C114" s="316"/>
      <c r="D114" s="270"/>
      <c r="E114" s="143"/>
      <c r="F114" s="136"/>
      <c r="G114" s="136"/>
      <c r="H114" s="136"/>
      <c r="I114" s="136"/>
      <c r="J114" s="314"/>
      <c r="K114" s="158"/>
      <c r="L114" s="159"/>
      <c r="M114" s="160" t="s">
        <v>402</v>
      </c>
      <c r="N114" s="207" t="s">
        <v>408</v>
      </c>
      <c r="O114" s="209" t="s">
        <v>409</v>
      </c>
      <c r="P114" s="209" t="s">
        <v>409</v>
      </c>
      <c r="Q114" s="334"/>
      <c r="R114" s="209" t="s">
        <v>409</v>
      </c>
      <c r="S114" s="334"/>
      <c r="T114" s="209" t="s">
        <v>409</v>
      </c>
      <c r="U114" s="178"/>
      <c r="V114" s="209" t="s">
        <v>409</v>
      </c>
      <c r="W114" s="178"/>
      <c r="X114" s="209" t="s">
        <v>409</v>
      </c>
      <c r="Y114" s="178"/>
      <c r="Z114" s="209" t="s">
        <v>409</v>
      </c>
      <c r="AA114" s="178"/>
      <c r="AB114" s="316"/>
      <c r="AC114" s="161"/>
      <c r="AD114" s="155"/>
      <c r="AE114" s="156"/>
      <c r="AF114" s="157"/>
      <c r="AG114" s="272"/>
    </row>
    <row r="115" spans="1:33" s="32" customFormat="1" ht="33" x14ac:dyDescent="0.35">
      <c r="A115" s="270"/>
      <c r="B115" s="316"/>
      <c r="C115" s="316"/>
      <c r="D115" s="270"/>
      <c r="E115" s="143"/>
      <c r="F115" s="136"/>
      <c r="G115" s="136"/>
      <c r="H115" s="136"/>
      <c r="I115" s="136"/>
      <c r="J115" s="314"/>
      <c r="K115" s="137" t="s">
        <v>295</v>
      </c>
      <c r="L115" s="314" t="s">
        <v>291</v>
      </c>
      <c r="M115" s="176" t="s">
        <v>421</v>
      </c>
      <c r="N115" s="315"/>
      <c r="O115" s="137"/>
      <c r="P115" s="137"/>
      <c r="Q115" s="334"/>
      <c r="R115" s="137"/>
      <c r="S115" s="334"/>
      <c r="T115" s="137"/>
      <c r="U115" s="178"/>
      <c r="V115" s="137"/>
      <c r="W115" s="178"/>
      <c r="X115" s="137"/>
      <c r="Y115" s="178"/>
      <c r="Z115" s="137"/>
      <c r="AA115" s="178"/>
      <c r="AB115" s="316"/>
      <c r="AC115" s="161"/>
      <c r="AD115" s="155"/>
      <c r="AE115" s="156"/>
      <c r="AF115" s="157"/>
      <c r="AG115" s="272"/>
    </row>
    <row r="116" spans="1:33" s="32" customFormat="1" ht="33" x14ac:dyDescent="0.35">
      <c r="A116" s="270"/>
      <c r="B116" s="179"/>
      <c r="C116" s="179"/>
      <c r="D116" s="284"/>
      <c r="E116" s="180"/>
      <c r="F116" s="181"/>
      <c r="G116" s="181"/>
      <c r="H116" s="181"/>
      <c r="I116" s="181"/>
      <c r="J116" s="182"/>
      <c r="K116" s="183" t="s">
        <v>297</v>
      </c>
      <c r="L116" s="182" t="s">
        <v>291</v>
      </c>
      <c r="M116" s="184" t="s">
        <v>298</v>
      </c>
      <c r="N116" s="185"/>
      <c r="O116" s="183"/>
      <c r="P116" s="183"/>
      <c r="Q116" s="337"/>
      <c r="R116" s="183"/>
      <c r="S116" s="337"/>
      <c r="T116" s="183"/>
      <c r="U116" s="350"/>
      <c r="V116" s="183"/>
      <c r="W116" s="350"/>
      <c r="X116" s="183"/>
      <c r="Y116" s="350"/>
      <c r="Z116" s="183"/>
      <c r="AA116" s="350"/>
      <c r="AB116" s="179"/>
      <c r="AC116" s="186"/>
      <c r="AD116" s="187"/>
      <c r="AE116" s="188"/>
      <c r="AF116" s="189"/>
      <c r="AG116" s="285"/>
    </row>
    <row r="117" spans="1:33" s="32" customFormat="1" ht="18" x14ac:dyDescent="0.35">
      <c r="A117" s="270"/>
      <c r="B117" s="316"/>
      <c r="C117" s="316"/>
      <c r="D117" s="270"/>
      <c r="E117" s="143"/>
      <c r="F117" s="136"/>
      <c r="G117" s="136"/>
      <c r="H117" s="136"/>
      <c r="I117" s="136"/>
      <c r="J117" s="314"/>
      <c r="K117" s="137"/>
      <c r="L117" s="314"/>
      <c r="M117" s="176"/>
      <c r="N117" s="315"/>
      <c r="O117" s="137"/>
      <c r="P117" s="137"/>
      <c r="Q117" s="334"/>
      <c r="R117" s="137"/>
      <c r="S117" s="334"/>
      <c r="T117" s="137"/>
      <c r="U117" s="178"/>
      <c r="V117" s="137"/>
      <c r="W117" s="178"/>
      <c r="X117" s="137"/>
      <c r="Y117" s="178"/>
      <c r="Z117" s="137"/>
      <c r="AA117" s="178"/>
      <c r="AB117" s="316"/>
      <c r="AC117" s="161"/>
      <c r="AD117" s="155"/>
      <c r="AE117" s="156"/>
      <c r="AF117" s="157"/>
      <c r="AG117" s="272"/>
    </row>
    <row r="118" spans="1:33" s="32" customFormat="1" ht="33" x14ac:dyDescent="0.35">
      <c r="A118" s="270"/>
      <c r="B118" s="316"/>
      <c r="C118" s="316"/>
      <c r="D118" s="270"/>
      <c r="E118" s="143">
        <v>1</v>
      </c>
      <c r="F118" s="136">
        <v>1</v>
      </c>
      <c r="G118" s="136">
        <v>1</v>
      </c>
      <c r="H118" s="136">
        <v>3</v>
      </c>
      <c r="I118" s="210">
        <v>4</v>
      </c>
      <c r="J118" s="314" t="s">
        <v>368</v>
      </c>
      <c r="K118" s="158" t="s">
        <v>290</v>
      </c>
      <c r="L118" s="159" t="s">
        <v>291</v>
      </c>
      <c r="M118" s="514" t="s">
        <v>312</v>
      </c>
      <c r="N118" s="515"/>
      <c r="O118" s="137" t="s">
        <v>301</v>
      </c>
      <c r="P118" s="137" t="s">
        <v>301</v>
      </c>
      <c r="Q118" s="334">
        <v>30000000</v>
      </c>
      <c r="R118" s="137" t="s">
        <v>301</v>
      </c>
      <c r="S118" s="334">
        <f>Q118+(Q118*10%)</f>
        <v>33000000</v>
      </c>
      <c r="T118" s="137" t="s">
        <v>301</v>
      </c>
      <c r="U118" s="334">
        <f>S118+(S118*10%)</f>
        <v>36300000</v>
      </c>
      <c r="V118" s="137" t="s">
        <v>301</v>
      </c>
      <c r="W118" s="334">
        <f>U118+(U118*10%)</f>
        <v>39930000</v>
      </c>
      <c r="X118" s="137" t="s">
        <v>301</v>
      </c>
      <c r="Y118" s="334">
        <f>W118+(W118*10%)</f>
        <v>43923000</v>
      </c>
      <c r="Z118" s="137" t="s">
        <v>301</v>
      </c>
      <c r="AA118" s="178">
        <f>Y118+W118+U118+S118+Q118</f>
        <v>183153000</v>
      </c>
      <c r="AB118" s="316" t="s">
        <v>66</v>
      </c>
      <c r="AC118" s="161"/>
      <c r="AD118" s="155"/>
      <c r="AE118" s="156"/>
      <c r="AF118" s="157"/>
      <c r="AG118" s="316" t="s">
        <v>75</v>
      </c>
    </row>
    <row r="119" spans="1:33" s="32" customFormat="1" ht="33" x14ac:dyDescent="0.35">
      <c r="A119" s="270"/>
      <c r="B119" s="316"/>
      <c r="C119" s="316"/>
      <c r="D119" s="270"/>
      <c r="E119" s="143"/>
      <c r="F119" s="136"/>
      <c r="G119" s="136"/>
      <c r="H119" s="136"/>
      <c r="I119" s="210"/>
      <c r="J119" s="314"/>
      <c r="K119" s="158" t="s">
        <v>293</v>
      </c>
      <c r="L119" s="159" t="s">
        <v>291</v>
      </c>
      <c r="M119" s="514" t="s">
        <v>369</v>
      </c>
      <c r="N119" s="515"/>
      <c r="O119" s="137" t="s">
        <v>370</v>
      </c>
      <c r="P119" s="137" t="s">
        <v>370</v>
      </c>
      <c r="Q119" s="334"/>
      <c r="R119" s="137" t="s">
        <v>370</v>
      </c>
      <c r="S119" s="334"/>
      <c r="T119" s="137" t="s">
        <v>370</v>
      </c>
      <c r="U119" s="178"/>
      <c r="V119" s="137" t="s">
        <v>370</v>
      </c>
      <c r="W119" s="178"/>
      <c r="X119" s="137" t="s">
        <v>370</v>
      </c>
      <c r="Y119" s="178"/>
      <c r="Z119" s="137" t="s">
        <v>370</v>
      </c>
      <c r="AA119" s="178"/>
      <c r="AB119" s="316"/>
      <c r="AC119" s="161"/>
      <c r="AD119" s="155"/>
      <c r="AE119" s="156"/>
      <c r="AF119" s="157"/>
      <c r="AG119" s="272"/>
    </row>
    <row r="120" spans="1:33" s="32" customFormat="1" ht="18" x14ac:dyDescent="0.35">
      <c r="A120" s="270"/>
      <c r="B120" s="316"/>
      <c r="C120" s="316"/>
      <c r="D120" s="270"/>
      <c r="E120" s="143"/>
      <c r="F120" s="136"/>
      <c r="G120" s="136"/>
      <c r="H120" s="136"/>
      <c r="I120" s="136"/>
      <c r="J120" s="314"/>
      <c r="K120" s="158" t="s">
        <v>294</v>
      </c>
      <c r="L120" s="159" t="s">
        <v>291</v>
      </c>
      <c r="M120" s="527" t="s">
        <v>371</v>
      </c>
      <c r="N120" s="528"/>
      <c r="O120" s="166">
        <v>1</v>
      </c>
      <c r="P120" s="166">
        <v>1</v>
      </c>
      <c r="Q120" s="334"/>
      <c r="R120" s="166">
        <v>1</v>
      </c>
      <c r="S120" s="334"/>
      <c r="T120" s="166">
        <v>1</v>
      </c>
      <c r="U120" s="178"/>
      <c r="V120" s="166">
        <v>1</v>
      </c>
      <c r="W120" s="178"/>
      <c r="X120" s="166">
        <v>1</v>
      </c>
      <c r="Y120" s="178"/>
      <c r="Z120" s="166">
        <v>1</v>
      </c>
      <c r="AA120" s="178"/>
      <c r="AB120" s="316"/>
      <c r="AC120" s="161"/>
      <c r="AD120" s="155"/>
      <c r="AE120" s="156"/>
      <c r="AF120" s="157"/>
      <c r="AG120" s="272"/>
    </row>
    <row r="121" spans="1:33" s="32" customFormat="1" ht="33" x14ac:dyDescent="0.35">
      <c r="A121" s="270"/>
      <c r="B121" s="316"/>
      <c r="C121" s="316"/>
      <c r="D121" s="275"/>
      <c r="E121" s="143"/>
      <c r="F121" s="136"/>
      <c r="G121" s="136"/>
      <c r="H121" s="136"/>
      <c r="I121" s="136"/>
      <c r="J121" s="314"/>
      <c r="K121" s="137" t="s">
        <v>295</v>
      </c>
      <c r="L121" s="314" t="s">
        <v>291</v>
      </c>
      <c r="M121" s="514" t="s">
        <v>422</v>
      </c>
      <c r="N121" s="515"/>
      <c r="O121" s="137"/>
      <c r="P121" s="137"/>
      <c r="Q121" s="334"/>
      <c r="R121" s="137"/>
      <c r="S121" s="334"/>
      <c r="T121" s="137"/>
      <c r="U121" s="178"/>
      <c r="V121" s="137"/>
      <c r="W121" s="178"/>
      <c r="X121" s="137"/>
      <c r="Y121" s="178"/>
      <c r="Z121" s="137"/>
      <c r="AA121" s="178"/>
      <c r="AB121" s="316"/>
      <c r="AC121" s="161"/>
      <c r="AD121" s="155"/>
      <c r="AE121" s="156"/>
      <c r="AF121" s="157"/>
      <c r="AG121" s="272"/>
    </row>
    <row r="122" spans="1:33" s="32" customFormat="1" ht="33" x14ac:dyDescent="0.35">
      <c r="A122" s="270"/>
      <c r="B122" s="179"/>
      <c r="C122" s="179"/>
      <c r="D122" s="284"/>
      <c r="E122" s="180"/>
      <c r="F122" s="181"/>
      <c r="G122" s="181"/>
      <c r="H122" s="181"/>
      <c r="I122" s="181"/>
      <c r="J122" s="182"/>
      <c r="K122" s="183" t="s">
        <v>297</v>
      </c>
      <c r="L122" s="182" t="s">
        <v>291</v>
      </c>
      <c r="M122" s="184" t="s">
        <v>298</v>
      </c>
      <c r="N122" s="185"/>
      <c r="O122" s="183"/>
      <c r="P122" s="183"/>
      <c r="Q122" s="337"/>
      <c r="R122" s="183"/>
      <c r="S122" s="337"/>
      <c r="T122" s="183"/>
      <c r="U122" s="350"/>
      <c r="V122" s="183"/>
      <c r="W122" s="350"/>
      <c r="X122" s="183"/>
      <c r="Y122" s="350"/>
      <c r="Z122" s="183"/>
      <c r="AA122" s="350"/>
      <c r="AB122" s="179"/>
      <c r="AC122" s="186"/>
      <c r="AD122" s="187"/>
      <c r="AE122" s="188"/>
      <c r="AF122" s="189"/>
      <c r="AG122" s="285"/>
    </row>
    <row r="123" spans="1:33" s="32" customFormat="1" ht="18" x14ac:dyDescent="0.35">
      <c r="A123" s="270"/>
      <c r="B123" s="316"/>
      <c r="C123" s="316"/>
      <c r="D123" s="275"/>
      <c r="E123" s="143"/>
      <c r="F123" s="136"/>
      <c r="G123" s="136"/>
      <c r="H123" s="136"/>
      <c r="I123" s="136"/>
      <c r="J123" s="314"/>
      <c r="K123" s="137"/>
      <c r="L123" s="314"/>
      <c r="M123" s="176"/>
      <c r="N123" s="315"/>
      <c r="O123" s="137"/>
      <c r="P123" s="137"/>
      <c r="Q123" s="334"/>
      <c r="R123" s="137"/>
      <c r="S123" s="334"/>
      <c r="T123" s="137"/>
      <c r="U123" s="178"/>
      <c r="V123" s="137"/>
      <c r="W123" s="178"/>
      <c r="X123" s="137"/>
      <c r="Y123" s="178"/>
      <c r="Z123" s="137"/>
      <c r="AA123" s="178"/>
      <c r="AB123" s="316"/>
      <c r="AC123" s="161"/>
      <c r="AD123" s="155"/>
      <c r="AE123" s="156"/>
      <c r="AF123" s="157"/>
      <c r="AG123" s="272"/>
    </row>
    <row r="124" spans="1:33" s="32" customFormat="1" ht="162" x14ac:dyDescent="0.35">
      <c r="A124" s="270"/>
      <c r="B124" s="127" t="s">
        <v>1059</v>
      </c>
      <c r="C124" s="286" t="s">
        <v>423</v>
      </c>
      <c r="D124" s="273" t="s">
        <v>1066</v>
      </c>
      <c r="E124" s="128">
        <v>1</v>
      </c>
      <c r="F124" s="142">
        <v>1</v>
      </c>
      <c r="G124" s="142">
        <v>1</v>
      </c>
      <c r="H124" s="142">
        <v>4</v>
      </c>
      <c r="I124" s="142"/>
      <c r="J124" s="318" t="s">
        <v>373</v>
      </c>
      <c r="K124" s="567" t="s">
        <v>372</v>
      </c>
      <c r="L124" s="568"/>
      <c r="M124" s="568"/>
      <c r="N124" s="569"/>
      <c r="O124" s="144">
        <v>1</v>
      </c>
      <c r="P124" s="144">
        <v>1</v>
      </c>
      <c r="Q124" s="335">
        <f>SUM(Q125:Q134)</f>
        <v>829900000</v>
      </c>
      <c r="R124" s="144">
        <v>1</v>
      </c>
      <c r="S124" s="335">
        <f>SUM(S125:S134)</f>
        <v>871395000</v>
      </c>
      <c r="T124" s="144">
        <v>1</v>
      </c>
      <c r="U124" s="335">
        <f>SUM(U125:U134)</f>
        <v>958534500</v>
      </c>
      <c r="V124" s="144">
        <v>1</v>
      </c>
      <c r="W124" s="335">
        <f>SUM(W125:W134)</f>
        <v>1054387950</v>
      </c>
      <c r="X124" s="144">
        <v>1</v>
      </c>
      <c r="Y124" s="335">
        <f>SUM(Y125:Y134)</f>
        <v>1159826745</v>
      </c>
      <c r="Z124" s="144">
        <v>1</v>
      </c>
      <c r="AA124" s="351">
        <f>Y124+W124+U124+S124+Q124</f>
        <v>4874044195</v>
      </c>
      <c r="AB124" s="127" t="s">
        <v>66</v>
      </c>
      <c r="AC124" s="192">
        <f>SUM(AC126:AC141)</f>
        <v>700000</v>
      </c>
      <c r="AD124" s="192">
        <f>SUM(AD126:AD141)</f>
        <v>735000</v>
      </c>
      <c r="AE124" s="140"/>
      <c r="AF124" s="141"/>
      <c r="AG124" s="316" t="s">
        <v>75</v>
      </c>
    </row>
    <row r="125" spans="1:33" s="32" customFormat="1" ht="18" x14ac:dyDescent="0.35">
      <c r="A125" s="270"/>
      <c r="B125" s="316"/>
      <c r="C125" s="316"/>
      <c r="D125" s="270"/>
      <c r="E125" s="143"/>
      <c r="F125" s="136"/>
      <c r="G125" s="136"/>
      <c r="H125" s="136"/>
      <c r="I125" s="136"/>
      <c r="J125" s="314"/>
      <c r="K125" s="158"/>
      <c r="L125" s="159"/>
      <c r="M125" s="159"/>
      <c r="N125" s="315"/>
      <c r="O125" s="316"/>
      <c r="P125" s="316"/>
      <c r="Q125" s="334"/>
      <c r="R125" s="316"/>
      <c r="S125" s="334"/>
      <c r="T125" s="316"/>
      <c r="U125" s="178"/>
      <c r="V125" s="316"/>
      <c r="W125" s="178"/>
      <c r="X125" s="316"/>
      <c r="Y125" s="178"/>
      <c r="Z125" s="316"/>
      <c r="AA125" s="178"/>
      <c r="AB125" s="316"/>
      <c r="AC125" s="162"/>
      <c r="AD125" s="163"/>
      <c r="AE125" s="164"/>
      <c r="AF125" s="165"/>
      <c r="AG125" s="316"/>
    </row>
    <row r="126" spans="1:33" s="32" customFormat="1" ht="49.5" x14ac:dyDescent="0.35">
      <c r="A126" s="270"/>
      <c r="B126" s="316"/>
      <c r="C126" s="316"/>
      <c r="D126" s="270"/>
      <c r="E126" s="143">
        <v>1</v>
      </c>
      <c r="F126" s="136">
        <v>1</v>
      </c>
      <c r="G126" s="136">
        <v>1</v>
      </c>
      <c r="H126" s="136">
        <v>4</v>
      </c>
      <c r="I126" s="136">
        <v>1</v>
      </c>
      <c r="J126" s="314" t="s">
        <v>374</v>
      </c>
      <c r="K126" s="158" t="s">
        <v>290</v>
      </c>
      <c r="L126" s="159" t="s">
        <v>291</v>
      </c>
      <c r="M126" s="514" t="s">
        <v>312</v>
      </c>
      <c r="N126" s="515"/>
      <c r="O126" s="137" t="s">
        <v>301</v>
      </c>
      <c r="P126" s="137" t="s">
        <v>301</v>
      </c>
      <c r="Q126" s="334">
        <v>829900000</v>
      </c>
      <c r="R126" s="137" t="s">
        <v>301</v>
      </c>
      <c r="S126" s="334">
        <f>Q126+(Q126*5%)</f>
        <v>871395000</v>
      </c>
      <c r="T126" s="137" t="s">
        <v>301</v>
      </c>
      <c r="U126" s="334">
        <f>S126+(S126*10%)</f>
        <v>958534500</v>
      </c>
      <c r="V126" s="137" t="s">
        <v>301</v>
      </c>
      <c r="W126" s="334">
        <f>U126+(U126*10%)</f>
        <v>1054387950</v>
      </c>
      <c r="X126" s="137" t="s">
        <v>301</v>
      </c>
      <c r="Y126" s="334">
        <f>W126+(W126*10%)</f>
        <v>1159826745</v>
      </c>
      <c r="Z126" s="137" t="s">
        <v>301</v>
      </c>
      <c r="AA126" s="178">
        <f>Y126+W126+U126+S126+Q126</f>
        <v>4874044195</v>
      </c>
      <c r="AB126" s="316" t="s">
        <v>66</v>
      </c>
      <c r="AC126" s="161">
        <v>700000</v>
      </c>
      <c r="AD126" s="155">
        <f>AC126+(AC126*5%)</f>
        <v>735000</v>
      </c>
      <c r="AE126" s="156" t="s">
        <v>66</v>
      </c>
      <c r="AF126" s="157" t="s">
        <v>81</v>
      </c>
      <c r="AG126" s="316" t="s">
        <v>115</v>
      </c>
    </row>
    <row r="127" spans="1:33" s="109" customFormat="1" ht="49.5" x14ac:dyDescent="0.35">
      <c r="A127" s="287"/>
      <c r="B127" s="211"/>
      <c r="C127" s="211"/>
      <c r="D127" s="287"/>
      <c r="E127" s="212"/>
      <c r="F127" s="213"/>
      <c r="G127" s="213"/>
      <c r="H127" s="213"/>
      <c r="I127" s="213"/>
      <c r="J127" s="214"/>
      <c r="K127" s="158" t="s">
        <v>293</v>
      </c>
      <c r="L127" s="159" t="s">
        <v>291</v>
      </c>
      <c r="M127" s="160" t="s">
        <v>299</v>
      </c>
      <c r="N127" s="315" t="s">
        <v>410</v>
      </c>
      <c r="O127" s="137" t="s">
        <v>411</v>
      </c>
      <c r="P127" s="137" t="s">
        <v>411</v>
      </c>
      <c r="Q127" s="340"/>
      <c r="R127" s="137" t="s">
        <v>411</v>
      </c>
      <c r="S127" s="340"/>
      <c r="T127" s="137" t="s">
        <v>411</v>
      </c>
      <c r="U127" s="352"/>
      <c r="V127" s="137" t="s">
        <v>411</v>
      </c>
      <c r="W127" s="352"/>
      <c r="X127" s="137" t="s">
        <v>411</v>
      </c>
      <c r="Y127" s="352"/>
      <c r="Z127" s="137" t="s">
        <v>411</v>
      </c>
      <c r="AA127" s="352"/>
      <c r="AB127" s="211"/>
      <c r="AC127" s="215"/>
      <c r="AD127" s="216"/>
      <c r="AE127" s="217"/>
      <c r="AF127" s="218"/>
      <c r="AG127" s="288"/>
    </row>
    <row r="128" spans="1:33" s="109" customFormat="1" ht="66" x14ac:dyDescent="0.35">
      <c r="A128" s="287"/>
      <c r="B128" s="211"/>
      <c r="C128" s="211"/>
      <c r="D128" s="287"/>
      <c r="E128" s="212"/>
      <c r="F128" s="213"/>
      <c r="G128" s="213"/>
      <c r="H128" s="213"/>
      <c r="I128" s="213"/>
      <c r="J128" s="214"/>
      <c r="K128" s="158"/>
      <c r="L128" s="159"/>
      <c r="M128" s="320" t="s">
        <v>303</v>
      </c>
      <c r="N128" s="315" t="s">
        <v>412</v>
      </c>
      <c r="O128" s="137" t="s">
        <v>413</v>
      </c>
      <c r="P128" s="137" t="s">
        <v>413</v>
      </c>
      <c r="Q128" s="340"/>
      <c r="R128" s="137" t="s">
        <v>413</v>
      </c>
      <c r="S128" s="340"/>
      <c r="T128" s="137" t="s">
        <v>413</v>
      </c>
      <c r="U128" s="352"/>
      <c r="V128" s="137" t="s">
        <v>413</v>
      </c>
      <c r="W128" s="352"/>
      <c r="X128" s="137" t="s">
        <v>413</v>
      </c>
      <c r="Y128" s="352"/>
      <c r="Z128" s="137" t="s">
        <v>413</v>
      </c>
      <c r="AA128" s="352"/>
      <c r="AB128" s="211"/>
      <c r="AC128" s="215"/>
      <c r="AD128" s="216"/>
      <c r="AE128" s="217"/>
      <c r="AF128" s="218"/>
      <c r="AG128" s="288"/>
    </row>
    <row r="129" spans="1:33" s="109" customFormat="1" ht="66" x14ac:dyDescent="0.35">
      <c r="A129" s="287"/>
      <c r="B129" s="211"/>
      <c r="C129" s="211"/>
      <c r="D129" s="287"/>
      <c r="E129" s="212"/>
      <c r="F129" s="213"/>
      <c r="G129" s="213"/>
      <c r="H129" s="213"/>
      <c r="I129" s="213"/>
      <c r="J129" s="214"/>
      <c r="K129" s="158"/>
      <c r="L129" s="159"/>
      <c r="M129" s="320" t="s">
        <v>318</v>
      </c>
      <c r="N129" s="315" t="s">
        <v>414</v>
      </c>
      <c r="O129" s="137" t="s">
        <v>415</v>
      </c>
      <c r="P129" s="137" t="s">
        <v>415</v>
      </c>
      <c r="Q129" s="340"/>
      <c r="R129" s="137" t="s">
        <v>415</v>
      </c>
      <c r="S129" s="340"/>
      <c r="T129" s="137" t="s">
        <v>415</v>
      </c>
      <c r="U129" s="352"/>
      <c r="V129" s="137" t="s">
        <v>415</v>
      </c>
      <c r="W129" s="352"/>
      <c r="X129" s="137" t="s">
        <v>415</v>
      </c>
      <c r="Y129" s="352"/>
      <c r="Z129" s="137" t="s">
        <v>415</v>
      </c>
      <c r="AA129" s="352"/>
      <c r="AB129" s="211"/>
      <c r="AC129" s="215"/>
      <c r="AD129" s="216"/>
      <c r="AE129" s="217"/>
      <c r="AF129" s="218"/>
      <c r="AG129" s="288"/>
    </row>
    <row r="130" spans="1:33" s="58" customFormat="1" ht="49.5" x14ac:dyDescent="0.35">
      <c r="A130" s="279"/>
      <c r="B130" s="316"/>
      <c r="C130" s="316"/>
      <c r="D130" s="279"/>
      <c r="E130" s="143"/>
      <c r="F130" s="136"/>
      <c r="G130" s="136"/>
      <c r="H130" s="136"/>
      <c r="I130" s="136"/>
      <c r="J130" s="314"/>
      <c r="K130" s="158" t="s">
        <v>294</v>
      </c>
      <c r="L130" s="159" t="s">
        <v>291</v>
      </c>
      <c r="M130" s="160" t="s">
        <v>299</v>
      </c>
      <c r="N130" s="315" t="s">
        <v>416</v>
      </c>
      <c r="O130" s="137" t="s">
        <v>411</v>
      </c>
      <c r="P130" s="137" t="s">
        <v>411</v>
      </c>
      <c r="Q130" s="334"/>
      <c r="R130" s="137" t="s">
        <v>411</v>
      </c>
      <c r="S130" s="334"/>
      <c r="T130" s="137" t="s">
        <v>411</v>
      </c>
      <c r="U130" s="178"/>
      <c r="V130" s="137" t="s">
        <v>411</v>
      </c>
      <c r="W130" s="178"/>
      <c r="X130" s="137" t="s">
        <v>411</v>
      </c>
      <c r="Y130" s="178"/>
      <c r="Z130" s="137" t="s">
        <v>411</v>
      </c>
      <c r="AA130" s="178"/>
      <c r="AB130" s="316"/>
      <c r="AC130" s="219"/>
      <c r="AD130" s="155"/>
      <c r="AE130" s="156"/>
      <c r="AF130" s="157"/>
      <c r="AG130" s="281"/>
    </row>
    <row r="131" spans="1:33" s="58" customFormat="1" ht="99" x14ac:dyDescent="0.35">
      <c r="A131" s="279"/>
      <c r="B131" s="316"/>
      <c r="C131" s="316"/>
      <c r="D131" s="279"/>
      <c r="E131" s="143"/>
      <c r="F131" s="136"/>
      <c r="G131" s="136"/>
      <c r="H131" s="136"/>
      <c r="I131" s="136"/>
      <c r="J131" s="314"/>
      <c r="K131" s="158"/>
      <c r="L131" s="159"/>
      <c r="M131" s="320" t="s">
        <v>303</v>
      </c>
      <c r="N131" s="315" t="s">
        <v>417</v>
      </c>
      <c r="O131" s="137" t="str">
        <f>M131</f>
        <v>2.</v>
      </c>
      <c r="P131" s="137" t="str">
        <f>N131</f>
        <v>Dokumen laporan akhir tahun tersusun tepat waktu dan baik</v>
      </c>
      <c r="Q131" s="334"/>
      <c r="R131" s="137" t="str">
        <f>P131</f>
        <v>Dokumen laporan akhir tahun tersusun tepat waktu dan baik</v>
      </c>
      <c r="S131" s="334"/>
      <c r="T131" s="137" t="str">
        <f>R131</f>
        <v>Dokumen laporan akhir tahun tersusun tepat waktu dan baik</v>
      </c>
      <c r="U131" s="178"/>
      <c r="V131" s="137" t="str">
        <f>T131</f>
        <v>Dokumen laporan akhir tahun tersusun tepat waktu dan baik</v>
      </c>
      <c r="W131" s="178"/>
      <c r="X131" s="137" t="str">
        <f>V131</f>
        <v>Dokumen laporan akhir tahun tersusun tepat waktu dan baik</v>
      </c>
      <c r="Y131" s="178"/>
      <c r="Z131" s="137" t="str">
        <f>X131</f>
        <v>Dokumen laporan akhir tahun tersusun tepat waktu dan baik</v>
      </c>
      <c r="AA131" s="178"/>
      <c r="AB131" s="316"/>
      <c r="AC131" s="219"/>
      <c r="AD131" s="155"/>
      <c r="AE131" s="156"/>
      <c r="AF131" s="157"/>
      <c r="AG131" s="281"/>
    </row>
    <row r="132" spans="1:33" s="58" customFormat="1" ht="49.5" x14ac:dyDescent="0.35">
      <c r="A132" s="279"/>
      <c r="B132" s="316"/>
      <c r="C132" s="316"/>
      <c r="D132" s="279"/>
      <c r="E132" s="143"/>
      <c r="F132" s="136"/>
      <c r="G132" s="136"/>
      <c r="H132" s="136"/>
      <c r="I132" s="136"/>
      <c r="J132" s="314"/>
      <c r="K132" s="158"/>
      <c r="L132" s="159"/>
      <c r="M132" s="320" t="s">
        <v>318</v>
      </c>
      <c r="N132" s="315" t="s">
        <v>418</v>
      </c>
      <c r="O132" s="137" t="s">
        <v>419</v>
      </c>
      <c r="P132" s="137" t="s">
        <v>419</v>
      </c>
      <c r="Q132" s="334"/>
      <c r="R132" s="137" t="s">
        <v>419</v>
      </c>
      <c r="S132" s="334"/>
      <c r="T132" s="137" t="s">
        <v>419</v>
      </c>
      <c r="U132" s="178"/>
      <c r="V132" s="137" t="s">
        <v>419</v>
      </c>
      <c r="W132" s="178"/>
      <c r="X132" s="137" t="s">
        <v>419</v>
      </c>
      <c r="Y132" s="178"/>
      <c r="Z132" s="137" t="s">
        <v>419</v>
      </c>
      <c r="AA132" s="178"/>
      <c r="AB132" s="316"/>
      <c r="AC132" s="219"/>
      <c r="AD132" s="155"/>
      <c r="AE132" s="156"/>
      <c r="AF132" s="157"/>
      <c r="AG132" s="281"/>
    </row>
    <row r="133" spans="1:33" s="32" customFormat="1" ht="33" x14ac:dyDescent="0.35">
      <c r="A133" s="270"/>
      <c r="B133" s="316"/>
      <c r="C133" s="316"/>
      <c r="D133" s="270"/>
      <c r="E133" s="143"/>
      <c r="F133" s="136"/>
      <c r="G133" s="136"/>
      <c r="H133" s="136"/>
      <c r="I133" s="136"/>
      <c r="J133" s="314"/>
      <c r="K133" s="137" t="s">
        <v>295</v>
      </c>
      <c r="L133" s="314" t="s">
        <v>291</v>
      </c>
      <c r="M133" s="176" t="s">
        <v>296</v>
      </c>
      <c r="N133" s="315"/>
      <c r="O133" s="137"/>
      <c r="P133" s="137"/>
      <c r="Q133" s="334"/>
      <c r="R133" s="137"/>
      <c r="S133" s="334"/>
      <c r="T133" s="137"/>
      <c r="U133" s="178"/>
      <c r="V133" s="137"/>
      <c r="W133" s="178"/>
      <c r="X133" s="137"/>
      <c r="Y133" s="178"/>
      <c r="Z133" s="137"/>
      <c r="AA133" s="178"/>
      <c r="AB133" s="316"/>
      <c r="AC133" s="161"/>
      <c r="AD133" s="155"/>
      <c r="AE133" s="156"/>
      <c r="AF133" s="157"/>
      <c r="AG133" s="272"/>
    </row>
    <row r="134" spans="1:33" s="32" customFormat="1" ht="33" x14ac:dyDescent="0.35">
      <c r="A134" s="270"/>
      <c r="B134" s="179"/>
      <c r="C134" s="179"/>
      <c r="D134" s="284"/>
      <c r="E134" s="180"/>
      <c r="F134" s="181"/>
      <c r="G134" s="181"/>
      <c r="H134" s="181"/>
      <c r="I134" s="181"/>
      <c r="J134" s="182"/>
      <c r="K134" s="183" t="s">
        <v>297</v>
      </c>
      <c r="L134" s="182" t="s">
        <v>291</v>
      </c>
      <c r="M134" s="184" t="s">
        <v>298</v>
      </c>
      <c r="N134" s="185"/>
      <c r="O134" s="183"/>
      <c r="P134" s="183"/>
      <c r="Q134" s="337"/>
      <c r="R134" s="183"/>
      <c r="S134" s="337"/>
      <c r="T134" s="183"/>
      <c r="U134" s="350"/>
      <c r="V134" s="183"/>
      <c r="W134" s="350"/>
      <c r="X134" s="183"/>
      <c r="Y134" s="350"/>
      <c r="Z134" s="183"/>
      <c r="AA134" s="350"/>
      <c r="AB134" s="179"/>
      <c r="AC134" s="220"/>
      <c r="AD134" s="187"/>
      <c r="AE134" s="188"/>
      <c r="AF134" s="189"/>
      <c r="AG134" s="285"/>
    </row>
    <row r="135" spans="1:33" s="32" customFormat="1" ht="18" x14ac:dyDescent="0.35">
      <c r="A135" s="270"/>
      <c r="B135" s="316"/>
      <c r="C135" s="316"/>
      <c r="D135" s="270"/>
      <c r="E135" s="143"/>
      <c r="F135" s="136"/>
      <c r="G135" s="136"/>
      <c r="H135" s="136"/>
      <c r="I135" s="136"/>
      <c r="J135" s="314"/>
      <c r="K135" s="158"/>
      <c r="L135" s="159"/>
      <c r="M135" s="159"/>
      <c r="N135" s="315"/>
      <c r="O135" s="316"/>
      <c r="P135" s="316"/>
      <c r="Q135" s="334"/>
      <c r="R135" s="316"/>
      <c r="S135" s="334"/>
      <c r="T135" s="316"/>
      <c r="U135" s="178"/>
      <c r="V135" s="316"/>
      <c r="W135" s="178"/>
      <c r="X135" s="316"/>
      <c r="Y135" s="178"/>
      <c r="Z135" s="316"/>
      <c r="AA135" s="178"/>
      <c r="AB135" s="316"/>
      <c r="AC135" s="221"/>
      <c r="AD135" s="155"/>
      <c r="AE135" s="156"/>
      <c r="AF135" s="157"/>
      <c r="AG135" s="272"/>
    </row>
    <row r="136" spans="1:33" s="58" customFormat="1" ht="288" x14ac:dyDescent="0.35">
      <c r="A136" s="279"/>
      <c r="B136" s="127" t="s">
        <v>1059</v>
      </c>
      <c r="C136" s="286" t="s">
        <v>1057</v>
      </c>
      <c r="D136" s="273" t="s">
        <v>1067</v>
      </c>
      <c r="E136" s="128">
        <v>1</v>
      </c>
      <c r="F136" s="142">
        <v>1</v>
      </c>
      <c r="G136" s="142">
        <v>1</v>
      </c>
      <c r="H136" s="142">
        <v>5</v>
      </c>
      <c r="I136" s="142"/>
      <c r="J136" s="318" t="s">
        <v>125</v>
      </c>
      <c r="K136" s="511" t="s">
        <v>1056</v>
      </c>
      <c r="L136" s="512"/>
      <c r="M136" s="512"/>
      <c r="N136" s="513"/>
      <c r="O136" s="222">
        <v>1</v>
      </c>
      <c r="P136" s="222">
        <v>1</v>
      </c>
      <c r="Q136" s="335">
        <f>SUM(Q137:Q186)</f>
        <v>6124300000</v>
      </c>
      <c r="R136" s="222">
        <v>1</v>
      </c>
      <c r="S136" s="335">
        <f>SUM(S137:S186)</f>
        <v>6476395000</v>
      </c>
      <c r="T136" s="222">
        <v>1</v>
      </c>
      <c r="U136" s="335">
        <f>SUM(U137:U186)</f>
        <v>7124034500</v>
      </c>
      <c r="V136" s="222">
        <v>1</v>
      </c>
      <c r="W136" s="335">
        <f>SUM(W137:W186)</f>
        <v>7836437950</v>
      </c>
      <c r="X136" s="222">
        <v>1</v>
      </c>
      <c r="Y136" s="335">
        <f>SUM(Y137:Y186)</f>
        <v>8620081745</v>
      </c>
      <c r="Z136" s="222">
        <v>1</v>
      </c>
      <c r="AA136" s="351">
        <f>Y136+W136+U136+S136+Q136</f>
        <v>36181249195</v>
      </c>
      <c r="AB136" s="127" t="s">
        <v>66</v>
      </c>
      <c r="AC136" s="223"/>
      <c r="AD136" s="224"/>
      <c r="AE136" s="203"/>
      <c r="AF136" s="204"/>
      <c r="AG136" s="316" t="s">
        <v>120</v>
      </c>
    </row>
    <row r="137" spans="1:33" s="58" customFormat="1" ht="18" x14ac:dyDescent="0.35">
      <c r="A137" s="279"/>
      <c r="B137" s="316"/>
      <c r="C137" s="316"/>
      <c r="D137" s="279"/>
      <c r="E137" s="128"/>
      <c r="F137" s="142"/>
      <c r="G137" s="142"/>
      <c r="H137" s="142"/>
      <c r="I137" s="142"/>
      <c r="J137" s="318"/>
      <c r="K137" s="158"/>
      <c r="L137" s="159"/>
      <c r="M137" s="159"/>
      <c r="N137" s="315"/>
      <c r="O137" s="316"/>
      <c r="P137" s="316"/>
      <c r="Q137" s="334"/>
      <c r="R137" s="316"/>
      <c r="S137" s="334"/>
      <c r="T137" s="316"/>
      <c r="U137" s="178"/>
      <c r="V137" s="316"/>
      <c r="W137" s="178"/>
      <c r="X137" s="316"/>
      <c r="Y137" s="178"/>
      <c r="Z137" s="316"/>
      <c r="AA137" s="178"/>
      <c r="AB137" s="316"/>
      <c r="AC137" s="161"/>
      <c r="AD137" s="155"/>
      <c r="AE137" s="156"/>
      <c r="AF137" s="157"/>
      <c r="AG137" s="316"/>
    </row>
    <row r="138" spans="1:33" s="58" customFormat="1" ht="49.5" x14ac:dyDescent="0.35">
      <c r="A138" s="279"/>
      <c r="B138" s="316"/>
      <c r="C138" s="316"/>
      <c r="D138" s="279"/>
      <c r="E138" s="143">
        <v>1</v>
      </c>
      <c r="F138" s="136">
        <v>1</v>
      </c>
      <c r="G138" s="136">
        <v>1</v>
      </c>
      <c r="H138" s="136">
        <v>5</v>
      </c>
      <c r="I138" s="136">
        <v>1</v>
      </c>
      <c r="J138" s="314" t="s">
        <v>375</v>
      </c>
      <c r="K138" s="158" t="s">
        <v>290</v>
      </c>
      <c r="L138" s="159" t="s">
        <v>291</v>
      </c>
      <c r="M138" s="514" t="s">
        <v>312</v>
      </c>
      <c r="N138" s="515"/>
      <c r="O138" s="316" t="s">
        <v>301</v>
      </c>
      <c r="P138" s="316" t="s">
        <v>301</v>
      </c>
      <c r="Q138" s="334">
        <v>1173700000</v>
      </c>
      <c r="R138" s="316" t="s">
        <v>301</v>
      </c>
      <c r="S138" s="334">
        <f>Q138+(Q138*2.2%)+493600</f>
        <v>1200015000</v>
      </c>
      <c r="T138" s="316" t="s">
        <v>301</v>
      </c>
      <c r="U138" s="334">
        <f>S138+(S138*10%)</f>
        <v>1320016500</v>
      </c>
      <c r="V138" s="316" t="s">
        <v>301</v>
      </c>
      <c r="W138" s="334">
        <f>U138+(U138*10%)+800</f>
        <v>1452018950</v>
      </c>
      <c r="X138" s="316" t="s">
        <v>301</v>
      </c>
      <c r="Y138" s="334">
        <f>W138+(W138*10%)+1560</f>
        <v>1597222405</v>
      </c>
      <c r="Z138" s="316" t="s">
        <v>301</v>
      </c>
      <c r="AA138" s="178">
        <f>Y138+W138+U138+S138+Q138</f>
        <v>6742972855</v>
      </c>
      <c r="AB138" s="316" t="s">
        <v>66</v>
      </c>
      <c r="AC138" s="221"/>
      <c r="AD138" s="155"/>
      <c r="AE138" s="156"/>
      <c r="AF138" s="157"/>
      <c r="AG138" s="316" t="s">
        <v>115</v>
      </c>
    </row>
    <row r="139" spans="1:33" s="58" customFormat="1" ht="33" x14ac:dyDescent="0.35">
      <c r="A139" s="279"/>
      <c r="B139" s="316"/>
      <c r="C139" s="316"/>
      <c r="D139" s="279"/>
      <c r="E139" s="143"/>
      <c r="F139" s="136"/>
      <c r="G139" s="136"/>
      <c r="H139" s="136"/>
      <c r="I139" s="136"/>
      <c r="J139" s="314"/>
      <c r="K139" s="158" t="s">
        <v>293</v>
      </c>
      <c r="L139" s="159" t="s">
        <v>291</v>
      </c>
      <c r="M139" s="160" t="s">
        <v>299</v>
      </c>
      <c r="N139" s="315" t="s">
        <v>424</v>
      </c>
      <c r="O139" s="137" t="s">
        <v>431</v>
      </c>
      <c r="P139" s="137" t="s">
        <v>431</v>
      </c>
      <c r="Q139" s="334"/>
      <c r="R139" s="137" t="s">
        <v>431</v>
      </c>
      <c r="S139" s="334"/>
      <c r="T139" s="137" t="s">
        <v>431</v>
      </c>
      <c r="U139" s="178"/>
      <c r="V139" s="137" t="s">
        <v>431</v>
      </c>
      <c r="W139" s="178"/>
      <c r="X139" s="137" t="s">
        <v>431</v>
      </c>
      <c r="Y139" s="178"/>
      <c r="Z139" s="137" t="s">
        <v>431</v>
      </c>
      <c r="AA139" s="178"/>
      <c r="AB139" s="316"/>
      <c r="AC139" s="161"/>
      <c r="AD139" s="155"/>
      <c r="AE139" s="156"/>
      <c r="AF139" s="157"/>
      <c r="AG139" s="281"/>
    </row>
    <row r="140" spans="1:33" s="58" customFormat="1" ht="66" x14ac:dyDescent="0.35">
      <c r="A140" s="279"/>
      <c r="B140" s="316"/>
      <c r="C140" s="316"/>
      <c r="D140" s="279"/>
      <c r="E140" s="143"/>
      <c r="F140" s="136"/>
      <c r="G140" s="136"/>
      <c r="H140" s="136"/>
      <c r="I140" s="136"/>
      <c r="J140" s="314"/>
      <c r="K140" s="158"/>
      <c r="L140" s="159"/>
      <c r="M140" s="160" t="s">
        <v>303</v>
      </c>
      <c r="N140" s="205" t="s">
        <v>425</v>
      </c>
      <c r="O140" s="158" t="s">
        <v>432</v>
      </c>
      <c r="P140" s="158" t="s">
        <v>432</v>
      </c>
      <c r="Q140" s="334"/>
      <c r="R140" s="158" t="s">
        <v>432</v>
      </c>
      <c r="S140" s="334"/>
      <c r="T140" s="158" t="s">
        <v>432</v>
      </c>
      <c r="U140" s="178"/>
      <c r="V140" s="158" t="s">
        <v>432</v>
      </c>
      <c r="W140" s="178"/>
      <c r="X140" s="158" t="s">
        <v>432</v>
      </c>
      <c r="Y140" s="178"/>
      <c r="Z140" s="158" t="s">
        <v>432</v>
      </c>
      <c r="AA140" s="178"/>
      <c r="AB140" s="316"/>
      <c r="AC140" s="161"/>
      <c r="AD140" s="155"/>
      <c r="AE140" s="156"/>
      <c r="AF140" s="157"/>
      <c r="AG140" s="281"/>
    </row>
    <row r="141" spans="1:33" s="32" customFormat="1" ht="66" x14ac:dyDescent="0.35">
      <c r="A141" s="270"/>
      <c r="B141" s="316"/>
      <c r="C141" s="316"/>
      <c r="D141" s="270"/>
      <c r="E141" s="143"/>
      <c r="F141" s="136"/>
      <c r="G141" s="136"/>
      <c r="H141" s="136"/>
      <c r="I141" s="136"/>
      <c r="J141" s="314"/>
      <c r="K141" s="158"/>
      <c r="L141" s="159"/>
      <c r="M141" s="160" t="s">
        <v>318</v>
      </c>
      <c r="N141" s="205" t="s">
        <v>426</v>
      </c>
      <c r="O141" s="158" t="s">
        <v>433</v>
      </c>
      <c r="P141" s="158" t="s">
        <v>433</v>
      </c>
      <c r="Q141" s="334"/>
      <c r="R141" s="158" t="s">
        <v>433</v>
      </c>
      <c r="S141" s="334"/>
      <c r="T141" s="158" t="s">
        <v>433</v>
      </c>
      <c r="U141" s="178"/>
      <c r="V141" s="158" t="s">
        <v>433</v>
      </c>
      <c r="W141" s="178"/>
      <c r="X141" s="158" t="s">
        <v>433</v>
      </c>
      <c r="Y141" s="178"/>
      <c r="Z141" s="158" t="s">
        <v>433</v>
      </c>
      <c r="AA141" s="178"/>
      <c r="AB141" s="316"/>
      <c r="AC141" s="161"/>
      <c r="AD141" s="155"/>
      <c r="AE141" s="156"/>
      <c r="AF141" s="157"/>
      <c r="AG141" s="272"/>
    </row>
    <row r="142" spans="1:33" s="32" customFormat="1" ht="66" x14ac:dyDescent="0.35">
      <c r="A142" s="270"/>
      <c r="B142" s="316"/>
      <c r="C142" s="316"/>
      <c r="D142" s="270"/>
      <c r="E142" s="143"/>
      <c r="F142" s="136"/>
      <c r="G142" s="136"/>
      <c r="H142" s="136"/>
      <c r="I142" s="136"/>
      <c r="J142" s="314"/>
      <c r="K142" s="158"/>
      <c r="L142" s="159"/>
      <c r="M142" s="160" t="s">
        <v>331</v>
      </c>
      <c r="N142" s="225" t="s">
        <v>427</v>
      </c>
      <c r="O142" s="158" t="s">
        <v>434</v>
      </c>
      <c r="P142" s="158" t="s">
        <v>434</v>
      </c>
      <c r="Q142" s="334"/>
      <c r="R142" s="158" t="s">
        <v>434</v>
      </c>
      <c r="S142" s="334"/>
      <c r="T142" s="158" t="s">
        <v>434</v>
      </c>
      <c r="U142" s="178"/>
      <c r="V142" s="158" t="s">
        <v>434</v>
      </c>
      <c r="W142" s="178"/>
      <c r="X142" s="158" t="s">
        <v>434</v>
      </c>
      <c r="Y142" s="178"/>
      <c r="Z142" s="158" t="s">
        <v>434</v>
      </c>
      <c r="AA142" s="178"/>
      <c r="AB142" s="316"/>
      <c r="AC142" s="161"/>
      <c r="AD142" s="155"/>
      <c r="AE142" s="156"/>
      <c r="AF142" s="157"/>
      <c r="AG142" s="272"/>
    </row>
    <row r="143" spans="1:33" s="32" customFormat="1" ht="49.5" x14ac:dyDescent="0.35">
      <c r="A143" s="270"/>
      <c r="B143" s="316"/>
      <c r="C143" s="316"/>
      <c r="D143" s="270"/>
      <c r="E143" s="143"/>
      <c r="F143" s="136"/>
      <c r="G143" s="136"/>
      <c r="H143" s="136"/>
      <c r="I143" s="136"/>
      <c r="J143" s="314"/>
      <c r="K143" s="158"/>
      <c r="L143" s="159"/>
      <c r="M143" s="160" t="s">
        <v>353</v>
      </c>
      <c r="N143" s="225" t="s">
        <v>428</v>
      </c>
      <c r="O143" s="158" t="s">
        <v>435</v>
      </c>
      <c r="P143" s="158" t="s">
        <v>435</v>
      </c>
      <c r="Q143" s="334"/>
      <c r="R143" s="158" t="s">
        <v>435</v>
      </c>
      <c r="S143" s="334"/>
      <c r="T143" s="158" t="s">
        <v>435</v>
      </c>
      <c r="U143" s="178"/>
      <c r="V143" s="158" t="s">
        <v>435</v>
      </c>
      <c r="W143" s="178"/>
      <c r="X143" s="158" t="s">
        <v>435</v>
      </c>
      <c r="Y143" s="178"/>
      <c r="Z143" s="158" t="s">
        <v>435</v>
      </c>
      <c r="AA143" s="178"/>
      <c r="AB143" s="316"/>
      <c r="AC143" s="161"/>
      <c r="AD143" s="155"/>
      <c r="AE143" s="156"/>
      <c r="AF143" s="157"/>
      <c r="AG143" s="272"/>
    </row>
    <row r="144" spans="1:33" s="32" customFormat="1" ht="132" x14ac:dyDescent="0.35">
      <c r="A144" s="270"/>
      <c r="B144" s="316"/>
      <c r="C144" s="316"/>
      <c r="D144" s="270"/>
      <c r="E144" s="143"/>
      <c r="F144" s="136"/>
      <c r="G144" s="136"/>
      <c r="H144" s="136"/>
      <c r="I144" s="136"/>
      <c r="J144" s="314"/>
      <c r="K144" s="158"/>
      <c r="L144" s="159"/>
      <c r="M144" s="160" t="s">
        <v>352</v>
      </c>
      <c r="N144" s="225" t="s">
        <v>429</v>
      </c>
      <c r="O144" s="158" t="s">
        <v>435</v>
      </c>
      <c r="P144" s="158" t="s">
        <v>435</v>
      </c>
      <c r="Q144" s="334"/>
      <c r="R144" s="158" t="s">
        <v>435</v>
      </c>
      <c r="S144" s="334"/>
      <c r="T144" s="158" t="s">
        <v>435</v>
      </c>
      <c r="U144" s="178"/>
      <c r="V144" s="158" t="s">
        <v>435</v>
      </c>
      <c r="W144" s="178"/>
      <c r="X144" s="158" t="s">
        <v>435</v>
      </c>
      <c r="Y144" s="178"/>
      <c r="Z144" s="158" t="s">
        <v>435</v>
      </c>
      <c r="AA144" s="178"/>
      <c r="AB144" s="316"/>
      <c r="AC144" s="161"/>
      <c r="AD144" s="155"/>
      <c r="AE144" s="156"/>
      <c r="AF144" s="157"/>
      <c r="AG144" s="272"/>
    </row>
    <row r="145" spans="1:33" s="32" customFormat="1" ht="49.5" x14ac:dyDescent="0.35">
      <c r="A145" s="270"/>
      <c r="B145" s="316"/>
      <c r="C145" s="316"/>
      <c r="D145" s="270"/>
      <c r="E145" s="143"/>
      <c r="F145" s="136"/>
      <c r="G145" s="136"/>
      <c r="H145" s="136"/>
      <c r="I145" s="136"/>
      <c r="J145" s="314"/>
      <c r="K145" s="137"/>
      <c r="L145" s="314"/>
      <c r="M145" s="226" t="s">
        <v>402</v>
      </c>
      <c r="N145" s="315" t="s">
        <v>430</v>
      </c>
      <c r="O145" s="137" t="s">
        <v>431</v>
      </c>
      <c r="P145" s="137" t="s">
        <v>431</v>
      </c>
      <c r="Q145" s="334"/>
      <c r="R145" s="137" t="s">
        <v>431</v>
      </c>
      <c r="S145" s="334"/>
      <c r="T145" s="137" t="s">
        <v>431</v>
      </c>
      <c r="U145" s="178"/>
      <c r="V145" s="137" t="s">
        <v>431</v>
      </c>
      <c r="W145" s="178"/>
      <c r="X145" s="137" t="s">
        <v>431</v>
      </c>
      <c r="Y145" s="178"/>
      <c r="Z145" s="137" t="s">
        <v>431</v>
      </c>
      <c r="AA145" s="178"/>
      <c r="AB145" s="316"/>
      <c r="AC145" s="161"/>
      <c r="AD145" s="155"/>
      <c r="AE145" s="156"/>
      <c r="AF145" s="157"/>
      <c r="AG145" s="272"/>
    </row>
    <row r="146" spans="1:33" s="32" customFormat="1" ht="49.5" x14ac:dyDescent="0.35">
      <c r="A146" s="270"/>
      <c r="B146" s="316"/>
      <c r="C146" s="316"/>
      <c r="D146" s="270"/>
      <c r="E146" s="143"/>
      <c r="F146" s="136"/>
      <c r="G146" s="136"/>
      <c r="H146" s="136"/>
      <c r="I146" s="136"/>
      <c r="J146" s="314"/>
      <c r="K146" s="158" t="s">
        <v>294</v>
      </c>
      <c r="L146" s="159" t="s">
        <v>291</v>
      </c>
      <c r="M146" s="226" t="s">
        <v>299</v>
      </c>
      <c r="N146" s="315" t="s">
        <v>436</v>
      </c>
      <c r="O146" s="166" t="s">
        <v>431</v>
      </c>
      <c r="P146" s="166" t="s">
        <v>431</v>
      </c>
      <c r="Q146" s="334"/>
      <c r="R146" s="166" t="s">
        <v>431</v>
      </c>
      <c r="S146" s="334"/>
      <c r="T146" s="166" t="s">
        <v>431</v>
      </c>
      <c r="U146" s="178"/>
      <c r="V146" s="166" t="s">
        <v>431</v>
      </c>
      <c r="W146" s="178"/>
      <c r="X146" s="166" t="s">
        <v>431</v>
      </c>
      <c r="Y146" s="178"/>
      <c r="Z146" s="166" t="s">
        <v>431</v>
      </c>
      <c r="AA146" s="178"/>
      <c r="AB146" s="316"/>
      <c r="AC146" s="161"/>
      <c r="AD146" s="155"/>
      <c r="AE146" s="156"/>
      <c r="AF146" s="157"/>
      <c r="AG146" s="272"/>
    </row>
    <row r="147" spans="1:33" s="32" customFormat="1" ht="33" x14ac:dyDescent="0.35">
      <c r="A147" s="270"/>
      <c r="B147" s="316"/>
      <c r="C147" s="316"/>
      <c r="D147" s="270"/>
      <c r="E147" s="143"/>
      <c r="F147" s="136"/>
      <c r="G147" s="136"/>
      <c r="H147" s="136"/>
      <c r="I147" s="136"/>
      <c r="J147" s="314"/>
      <c r="K147" s="158"/>
      <c r="L147" s="159"/>
      <c r="M147" s="226" t="s">
        <v>303</v>
      </c>
      <c r="N147" s="315" t="s">
        <v>437</v>
      </c>
      <c r="O147" s="166" t="s">
        <v>431</v>
      </c>
      <c r="P147" s="166" t="s">
        <v>431</v>
      </c>
      <c r="Q147" s="334"/>
      <c r="R147" s="166" t="s">
        <v>431</v>
      </c>
      <c r="S147" s="334"/>
      <c r="T147" s="166" t="s">
        <v>431</v>
      </c>
      <c r="U147" s="178"/>
      <c r="V147" s="166" t="s">
        <v>431</v>
      </c>
      <c r="W147" s="178"/>
      <c r="X147" s="166" t="s">
        <v>431</v>
      </c>
      <c r="Y147" s="178"/>
      <c r="Z147" s="166" t="s">
        <v>431</v>
      </c>
      <c r="AA147" s="178"/>
      <c r="AB147" s="316"/>
      <c r="AC147" s="161"/>
      <c r="AD147" s="155"/>
      <c r="AE147" s="156"/>
      <c r="AF147" s="157"/>
      <c r="AG147" s="272"/>
    </row>
    <row r="148" spans="1:33" s="32" customFormat="1" ht="82.5" x14ac:dyDescent="0.35">
      <c r="A148" s="270"/>
      <c r="B148" s="316"/>
      <c r="C148" s="316"/>
      <c r="D148" s="270"/>
      <c r="E148" s="143"/>
      <c r="F148" s="136"/>
      <c r="G148" s="136"/>
      <c r="H148" s="136"/>
      <c r="I148" s="136"/>
      <c r="J148" s="314"/>
      <c r="K148" s="158"/>
      <c r="L148" s="159"/>
      <c r="M148" s="226" t="s">
        <v>318</v>
      </c>
      <c r="N148" s="315" t="s">
        <v>438</v>
      </c>
      <c r="O148" s="137" t="s">
        <v>431</v>
      </c>
      <c r="P148" s="137" t="s">
        <v>431</v>
      </c>
      <c r="Q148" s="334"/>
      <c r="R148" s="137" t="s">
        <v>431</v>
      </c>
      <c r="S148" s="334"/>
      <c r="T148" s="137" t="s">
        <v>431</v>
      </c>
      <c r="U148" s="178"/>
      <c r="V148" s="137" t="s">
        <v>431</v>
      </c>
      <c r="W148" s="178"/>
      <c r="X148" s="137" t="s">
        <v>431</v>
      </c>
      <c r="Y148" s="178"/>
      <c r="Z148" s="137" t="s">
        <v>431</v>
      </c>
      <c r="AA148" s="178"/>
      <c r="AB148" s="316"/>
      <c r="AC148" s="161"/>
      <c r="AD148" s="155"/>
      <c r="AE148" s="156"/>
      <c r="AF148" s="157"/>
      <c r="AG148" s="272"/>
    </row>
    <row r="149" spans="1:33" s="32" customFormat="1" ht="33" x14ac:dyDescent="0.35">
      <c r="A149" s="270"/>
      <c r="B149" s="316"/>
      <c r="C149" s="316"/>
      <c r="D149" s="270"/>
      <c r="E149" s="143"/>
      <c r="F149" s="136"/>
      <c r="G149" s="136"/>
      <c r="H149" s="136"/>
      <c r="I149" s="136"/>
      <c r="J149" s="314"/>
      <c r="K149" s="158"/>
      <c r="L149" s="159"/>
      <c r="M149" s="226" t="s">
        <v>331</v>
      </c>
      <c r="N149" s="315" t="s">
        <v>439</v>
      </c>
      <c r="O149" s="166">
        <v>1</v>
      </c>
      <c r="P149" s="166">
        <v>1</v>
      </c>
      <c r="Q149" s="334"/>
      <c r="R149" s="166">
        <v>1</v>
      </c>
      <c r="S149" s="334"/>
      <c r="T149" s="166">
        <v>1</v>
      </c>
      <c r="U149" s="178"/>
      <c r="V149" s="166">
        <v>1</v>
      </c>
      <c r="W149" s="178"/>
      <c r="X149" s="166">
        <v>1</v>
      </c>
      <c r="Y149" s="178"/>
      <c r="Z149" s="166">
        <v>1</v>
      </c>
      <c r="AA149" s="178"/>
      <c r="AB149" s="316"/>
      <c r="AC149" s="161"/>
      <c r="AD149" s="155"/>
      <c r="AE149" s="156"/>
      <c r="AF149" s="157"/>
      <c r="AG149" s="272"/>
    </row>
    <row r="150" spans="1:33" s="32" customFormat="1" ht="33" x14ac:dyDescent="0.35">
      <c r="A150" s="270"/>
      <c r="B150" s="316"/>
      <c r="C150" s="316"/>
      <c r="D150" s="270"/>
      <c r="E150" s="143"/>
      <c r="F150" s="136"/>
      <c r="G150" s="136"/>
      <c r="H150" s="136"/>
      <c r="I150" s="136"/>
      <c r="J150" s="314"/>
      <c r="K150" s="137" t="s">
        <v>295</v>
      </c>
      <c r="L150" s="314" t="s">
        <v>291</v>
      </c>
      <c r="M150" s="197" t="s">
        <v>440</v>
      </c>
      <c r="N150" s="225"/>
      <c r="O150" s="137"/>
      <c r="P150" s="137"/>
      <c r="Q150" s="334"/>
      <c r="R150" s="137"/>
      <c r="S150" s="334"/>
      <c r="T150" s="137"/>
      <c r="U150" s="178"/>
      <c r="V150" s="137"/>
      <c r="W150" s="178"/>
      <c r="X150" s="137"/>
      <c r="Y150" s="178"/>
      <c r="Z150" s="137"/>
      <c r="AA150" s="178"/>
      <c r="AB150" s="316"/>
      <c r="AC150" s="161"/>
      <c r="AD150" s="155"/>
      <c r="AE150" s="156"/>
      <c r="AF150" s="157"/>
      <c r="AG150" s="272"/>
    </row>
    <row r="151" spans="1:33" s="32" customFormat="1" ht="33" x14ac:dyDescent="0.35">
      <c r="A151" s="270"/>
      <c r="B151" s="179"/>
      <c r="C151" s="179"/>
      <c r="D151" s="284"/>
      <c r="E151" s="180"/>
      <c r="F151" s="181"/>
      <c r="G151" s="181"/>
      <c r="H151" s="181"/>
      <c r="I151" s="181"/>
      <c r="J151" s="185"/>
      <c r="K151" s="183" t="s">
        <v>297</v>
      </c>
      <c r="L151" s="182" t="s">
        <v>291</v>
      </c>
      <c r="M151" s="230" t="s">
        <v>441</v>
      </c>
      <c r="N151" s="227"/>
      <c r="O151" s="183"/>
      <c r="P151" s="183"/>
      <c r="Q151" s="337"/>
      <c r="R151" s="183"/>
      <c r="S151" s="337"/>
      <c r="T151" s="183"/>
      <c r="U151" s="350"/>
      <c r="V151" s="183"/>
      <c r="W151" s="350"/>
      <c r="X151" s="183"/>
      <c r="Y151" s="350"/>
      <c r="Z151" s="183"/>
      <c r="AA151" s="350"/>
      <c r="AB151" s="179"/>
      <c r="AC151" s="186"/>
      <c r="AD151" s="187"/>
      <c r="AE151" s="188"/>
      <c r="AF151" s="189"/>
      <c r="AG151" s="285"/>
    </row>
    <row r="152" spans="1:33" s="32" customFormat="1" ht="18" x14ac:dyDescent="0.35">
      <c r="A152" s="270"/>
      <c r="B152" s="316"/>
      <c r="C152" s="316"/>
      <c r="D152" s="270"/>
      <c r="E152" s="143"/>
      <c r="F152" s="136"/>
      <c r="G152" s="136"/>
      <c r="H152" s="136"/>
      <c r="I152" s="136"/>
      <c r="J152" s="314"/>
      <c r="K152" s="158"/>
      <c r="L152" s="159"/>
      <c r="M152" s="159"/>
      <c r="N152" s="315"/>
      <c r="O152" s="316"/>
      <c r="P152" s="316"/>
      <c r="Q152" s="334"/>
      <c r="R152" s="316"/>
      <c r="S152" s="334"/>
      <c r="T152" s="316"/>
      <c r="U152" s="178"/>
      <c r="V152" s="316"/>
      <c r="W152" s="178"/>
      <c r="X152" s="316"/>
      <c r="Y152" s="178"/>
      <c r="Z152" s="316"/>
      <c r="AA152" s="178"/>
      <c r="AB152" s="316"/>
      <c r="AC152" s="161"/>
      <c r="AD152" s="155"/>
      <c r="AE152" s="156"/>
      <c r="AF152" s="157"/>
      <c r="AG152" s="272"/>
    </row>
    <row r="153" spans="1:33" s="32" customFormat="1" ht="49.5" x14ac:dyDescent="0.35">
      <c r="A153" s="270"/>
      <c r="B153" s="316"/>
      <c r="C153" s="316"/>
      <c r="D153" s="270"/>
      <c r="E153" s="143">
        <v>1</v>
      </c>
      <c r="F153" s="136">
        <v>1</v>
      </c>
      <c r="G153" s="136">
        <v>1</v>
      </c>
      <c r="H153" s="136">
        <v>5</v>
      </c>
      <c r="I153" s="136">
        <v>2</v>
      </c>
      <c r="J153" s="314" t="s">
        <v>376</v>
      </c>
      <c r="K153" s="158" t="s">
        <v>290</v>
      </c>
      <c r="L153" s="159" t="s">
        <v>291</v>
      </c>
      <c r="M153" s="514" t="s">
        <v>312</v>
      </c>
      <c r="N153" s="515"/>
      <c r="O153" s="316" t="s">
        <v>301</v>
      </c>
      <c r="P153" s="316" t="s">
        <v>301</v>
      </c>
      <c r="Q153" s="334">
        <v>2116000000</v>
      </c>
      <c r="R153" s="316" t="s">
        <v>301</v>
      </c>
      <c r="S153" s="334">
        <f>Q153+(Q153*2%)</f>
        <v>2158320000</v>
      </c>
      <c r="T153" s="316" t="s">
        <v>301</v>
      </c>
      <c r="U153" s="334">
        <f>S153+(S153*10%)</f>
        <v>2374152000</v>
      </c>
      <c r="V153" s="316" t="s">
        <v>301</v>
      </c>
      <c r="W153" s="334">
        <f>U153+(U153*10%)-200</f>
        <v>2611567000</v>
      </c>
      <c r="X153" s="316" t="s">
        <v>301</v>
      </c>
      <c r="Y153" s="334">
        <f>W153+(W153*10%)-700</f>
        <v>2872723000</v>
      </c>
      <c r="Z153" s="316" t="s">
        <v>301</v>
      </c>
      <c r="AA153" s="178">
        <f>Y153+W153+U153+S153+Q153</f>
        <v>12132762000</v>
      </c>
      <c r="AB153" s="316" t="s">
        <v>66</v>
      </c>
      <c r="AC153" s="161"/>
      <c r="AD153" s="155"/>
      <c r="AE153" s="156"/>
      <c r="AF153" s="157"/>
      <c r="AG153" s="316" t="s">
        <v>120</v>
      </c>
    </row>
    <row r="154" spans="1:33" s="32" customFormat="1" ht="49.5" x14ac:dyDescent="0.35">
      <c r="A154" s="270"/>
      <c r="B154" s="316"/>
      <c r="C154" s="316"/>
      <c r="D154" s="270"/>
      <c r="E154" s="143"/>
      <c r="F154" s="136"/>
      <c r="G154" s="136"/>
      <c r="H154" s="136"/>
      <c r="I154" s="136"/>
      <c r="J154" s="314"/>
      <c r="K154" s="158" t="s">
        <v>293</v>
      </c>
      <c r="L154" s="159" t="s">
        <v>291</v>
      </c>
      <c r="M154" s="160" t="s">
        <v>299</v>
      </c>
      <c r="N154" s="205" t="s">
        <v>442</v>
      </c>
      <c r="O154" s="158" t="s">
        <v>419</v>
      </c>
      <c r="P154" s="158" t="s">
        <v>419</v>
      </c>
      <c r="Q154" s="334"/>
      <c r="R154" s="158" t="s">
        <v>419</v>
      </c>
      <c r="S154" s="334"/>
      <c r="T154" s="158" t="s">
        <v>419</v>
      </c>
      <c r="U154" s="178"/>
      <c r="V154" s="158" t="s">
        <v>419</v>
      </c>
      <c r="W154" s="178"/>
      <c r="X154" s="158" t="s">
        <v>419</v>
      </c>
      <c r="Y154" s="178"/>
      <c r="Z154" s="158" t="s">
        <v>419</v>
      </c>
      <c r="AA154" s="178"/>
      <c r="AB154" s="316"/>
      <c r="AC154" s="161"/>
      <c r="AD154" s="155"/>
      <c r="AE154" s="156"/>
      <c r="AF154" s="157"/>
      <c r="AG154" s="272"/>
    </row>
    <row r="155" spans="1:33" s="32" customFormat="1" ht="82.5" x14ac:dyDescent="0.35">
      <c r="A155" s="270"/>
      <c r="B155" s="316"/>
      <c r="C155" s="316"/>
      <c r="D155" s="270"/>
      <c r="E155" s="143"/>
      <c r="F155" s="228"/>
      <c r="G155" s="228"/>
      <c r="H155" s="143"/>
      <c r="I155" s="136"/>
      <c r="J155" s="316"/>
      <c r="K155" s="158"/>
      <c r="L155" s="159"/>
      <c r="M155" s="160" t="s">
        <v>303</v>
      </c>
      <c r="N155" s="205" t="s">
        <v>443</v>
      </c>
      <c r="O155" s="206" t="s">
        <v>227</v>
      </c>
      <c r="P155" s="206" t="s">
        <v>227</v>
      </c>
      <c r="Q155" s="334"/>
      <c r="R155" s="206" t="s">
        <v>227</v>
      </c>
      <c r="S155" s="334"/>
      <c r="T155" s="206" t="s">
        <v>227</v>
      </c>
      <c r="U155" s="178"/>
      <c r="V155" s="206" t="s">
        <v>227</v>
      </c>
      <c r="W155" s="178"/>
      <c r="X155" s="206" t="s">
        <v>227</v>
      </c>
      <c r="Y155" s="178"/>
      <c r="Z155" s="206" t="s">
        <v>227</v>
      </c>
      <c r="AA155" s="178"/>
      <c r="AB155" s="316"/>
      <c r="AC155" s="161"/>
      <c r="AD155" s="155"/>
      <c r="AE155" s="156"/>
      <c r="AF155" s="157"/>
      <c r="AG155" s="272"/>
    </row>
    <row r="156" spans="1:33" s="32" customFormat="1" ht="49.5" x14ac:dyDescent="0.35">
      <c r="A156" s="270"/>
      <c r="B156" s="316"/>
      <c r="C156" s="316"/>
      <c r="D156" s="270"/>
      <c r="E156" s="143"/>
      <c r="F156" s="143"/>
      <c r="G156" s="143"/>
      <c r="H156" s="143"/>
      <c r="I156" s="143"/>
      <c r="J156" s="316"/>
      <c r="K156" s="158"/>
      <c r="L156" s="159"/>
      <c r="M156" s="160" t="s">
        <v>318</v>
      </c>
      <c r="N156" s="205" t="s">
        <v>444</v>
      </c>
      <c r="O156" s="229" t="s">
        <v>445</v>
      </c>
      <c r="P156" s="229" t="s">
        <v>445</v>
      </c>
      <c r="Q156" s="334"/>
      <c r="R156" s="229" t="s">
        <v>445</v>
      </c>
      <c r="S156" s="334"/>
      <c r="T156" s="229" t="s">
        <v>445</v>
      </c>
      <c r="U156" s="178"/>
      <c r="V156" s="229" t="s">
        <v>445</v>
      </c>
      <c r="W156" s="178"/>
      <c r="X156" s="229" t="s">
        <v>445</v>
      </c>
      <c r="Y156" s="178"/>
      <c r="Z156" s="229" t="s">
        <v>445</v>
      </c>
      <c r="AA156" s="178"/>
      <c r="AB156" s="316"/>
      <c r="AC156" s="161"/>
      <c r="AD156" s="155"/>
      <c r="AE156" s="156"/>
      <c r="AF156" s="157"/>
      <c r="AG156" s="272"/>
    </row>
    <row r="157" spans="1:33" s="32" customFormat="1" ht="82.5" x14ac:dyDescent="0.35">
      <c r="A157" s="270"/>
      <c r="B157" s="316"/>
      <c r="C157" s="316"/>
      <c r="D157" s="270"/>
      <c r="E157" s="143"/>
      <c r="F157" s="143"/>
      <c r="G157" s="143"/>
      <c r="H157" s="143"/>
      <c r="I157" s="143"/>
      <c r="J157" s="316"/>
      <c r="K157" s="158"/>
      <c r="L157" s="159"/>
      <c r="M157" s="160" t="s">
        <v>331</v>
      </c>
      <c r="N157" s="225" t="s">
        <v>446</v>
      </c>
      <c r="O157" s="206" t="s">
        <v>447</v>
      </c>
      <c r="P157" s="206" t="s">
        <v>447</v>
      </c>
      <c r="Q157" s="334"/>
      <c r="R157" s="206" t="s">
        <v>447</v>
      </c>
      <c r="S157" s="334"/>
      <c r="T157" s="206" t="s">
        <v>447</v>
      </c>
      <c r="U157" s="178"/>
      <c r="V157" s="206" t="s">
        <v>447</v>
      </c>
      <c r="W157" s="178"/>
      <c r="X157" s="206" t="s">
        <v>447</v>
      </c>
      <c r="Y157" s="178"/>
      <c r="Z157" s="206" t="s">
        <v>447</v>
      </c>
      <c r="AA157" s="178"/>
      <c r="AB157" s="316"/>
      <c r="AC157" s="161"/>
      <c r="AD157" s="155"/>
      <c r="AE157" s="156"/>
      <c r="AF157" s="157"/>
      <c r="AG157" s="272"/>
    </row>
    <row r="158" spans="1:33" s="32" customFormat="1" ht="99" x14ac:dyDescent="0.35">
      <c r="A158" s="270"/>
      <c r="B158" s="316"/>
      <c r="C158" s="316"/>
      <c r="D158" s="270"/>
      <c r="E158" s="143"/>
      <c r="F158" s="143"/>
      <c r="G158" s="143"/>
      <c r="H158" s="143"/>
      <c r="I158" s="143"/>
      <c r="J158" s="316"/>
      <c r="K158" s="158"/>
      <c r="L158" s="159"/>
      <c r="M158" s="160" t="s">
        <v>353</v>
      </c>
      <c r="N158" s="205" t="s">
        <v>448</v>
      </c>
      <c r="O158" s="206" t="s">
        <v>449</v>
      </c>
      <c r="P158" s="206" t="s">
        <v>449</v>
      </c>
      <c r="Q158" s="334"/>
      <c r="R158" s="206" t="s">
        <v>449</v>
      </c>
      <c r="S158" s="334"/>
      <c r="T158" s="206" t="s">
        <v>449</v>
      </c>
      <c r="U158" s="178"/>
      <c r="V158" s="206" t="s">
        <v>449</v>
      </c>
      <c r="W158" s="178"/>
      <c r="X158" s="206" t="s">
        <v>449</v>
      </c>
      <c r="Y158" s="178"/>
      <c r="Z158" s="206" t="s">
        <v>449</v>
      </c>
      <c r="AA158" s="178"/>
      <c r="AB158" s="316"/>
      <c r="AC158" s="161"/>
      <c r="AD158" s="155"/>
      <c r="AE158" s="156"/>
      <c r="AF158" s="157"/>
      <c r="AG158" s="272"/>
    </row>
    <row r="159" spans="1:33" s="32" customFormat="1" ht="66" x14ac:dyDescent="0.35">
      <c r="A159" s="270"/>
      <c r="B159" s="316"/>
      <c r="C159" s="316"/>
      <c r="D159" s="270"/>
      <c r="E159" s="143"/>
      <c r="F159" s="143"/>
      <c r="G159" s="143"/>
      <c r="H159" s="143"/>
      <c r="I159" s="143"/>
      <c r="J159" s="316"/>
      <c r="K159" s="158"/>
      <c r="L159" s="159"/>
      <c r="M159" s="160" t="s">
        <v>352</v>
      </c>
      <c r="N159" s="315" t="s">
        <v>450</v>
      </c>
      <c r="O159" s="196" t="s">
        <v>347</v>
      </c>
      <c r="P159" s="196" t="s">
        <v>347</v>
      </c>
      <c r="Q159" s="334"/>
      <c r="R159" s="196" t="s">
        <v>347</v>
      </c>
      <c r="S159" s="334"/>
      <c r="T159" s="196" t="s">
        <v>347</v>
      </c>
      <c r="U159" s="178"/>
      <c r="V159" s="196" t="s">
        <v>347</v>
      </c>
      <c r="W159" s="178"/>
      <c r="X159" s="196" t="s">
        <v>347</v>
      </c>
      <c r="Y159" s="178"/>
      <c r="Z159" s="196" t="s">
        <v>347</v>
      </c>
      <c r="AA159" s="178"/>
      <c r="AB159" s="316"/>
      <c r="AC159" s="161"/>
      <c r="AD159" s="155"/>
      <c r="AE159" s="156"/>
      <c r="AF159" s="157"/>
      <c r="AG159" s="272"/>
    </row>
    <row r="160" spans="1:33" s="32" customFormat="1" ht="18" x14ac:dyDescent="0.35">
      <c r="A160" s="270"/>
      <c r="B160" s="316"/>
      <c r="C160" s="316"/>
      <c r="D160" s="270"/>
      <c r="E160" s="143"/>
      <c r="F160" s="228"/>
      <c r="G160" s="228"/>
      <c r="H160" s="143"/>
      <c r="I160" s="136"/>
      <c r="J160" s="316"/>
      <c r="K160" s="137"/>
      <c r="L160" s="314"/>
      <c r="M160" s="226" t="s">
        <v>402</v>
      </c>
      <c r="N160" s="315" t="s">
        <v>451</v>
      </c>
      <c r="O160" s="316" t="s">
        <v>452</v>
      </c>
      <c r="P160" s="316" t="s">
        <v>452</v>
      </c>
      <c r="Q160" s="334"/>
      <c r="R160" s="316" t="s">
        <v>452</v>
      </c>
      <c r="S160" s="334"/>
      <c r="T160" s="316" t="s">
        <v>452</v>
      </c>
      <c r="U160" s="178"/>
      <c r="V160" s="316" t="s">
        <v>452</v>
      </c>
      <c r="W160" s="178"/>
      <c r="X160" s="316" t="s">
        <v>452</v>
      </c>
      <c r="Y160" s="178"/>
      <c r="Z160" s="316" t="s">
        <v>452</v>
      </c>
      <c r="AA160" s="178"/>
      <c r="AB160" s="316"/>
      <c r="AC160" s="161"/>
      <c r="AD160" s="155"/>
      <c r="AE160" s="156"/>
      <c r="AF160" s="157"/>
      <c r="AG160" s="272"/>
    </row>
    <row r="161" spans="1:33" s="32" customFormat="1" ht="18" x14ac:dyDescent="0.35">
      <c r="A161" s="270"/>
      <c r="B161" s="316"/>
      <c r="C161" s="316"/>
      <c r="D161" s="270"/>
      <c r="E161" s="143"/>
      <c r="F161" s="228"/>
      <c r="G161" s="228"/>
      <c r="H161" s="143"/>
      <c r="I161" s="136"/>
      <c r="J161" s="316"/>
      <c r="K161" s="137"/>
      <c r="L161" s="314"/>
      <c r="M161" s="226" t="s">
        <v>453</v>
      </c>
      <c r="N161" s="315" t="s">
        <v>451</v>
      </c>
      <c r="O161" s="316" t="s">
        <v>452</v>
      </c>
      <c r="P161" s="316" t="s">
        <v>452</v>
      </c>
      <c r="Q161" s="334"/>
      <c r="R161" s="316" t="s">
        <v>452</v>
      </c>
      <c r="S161" s="334"/>
      <c r="T161" s="316" t="s">
        <v>452</v>
      </c>
      <c r="U161" s="178"/>
      <c r="V161" s="316" t="s">
        <v>452</v>
      </c>
      <c r="W161" s="178"/>
      <c r="X161" s="316" t="s">
        <v>452</v>
      </c>
      <c r="Y161" s="178"/>
      <c r="Z161" s="316" t="s">
        <v>452</v>
      </c>
      <c r="AA161" s="178"/>
      <c r="AB161" s="316"/>
      <c r="AC161" s="161"/>
      <c r="AD161" s="155"/>
      <c r="AE161" s="156"/>
      <c r="AF161" s="157"/>
      <c r="AG161" s="272"/>
    </row>
    <row r="162" spans="1:33" s="32" customFormat="1" ht="66" x14ac:dyDescent="0.35">
      <c r="A162" s="270"/>
      <c r="B162" s="316"/>
      <c r="C162" s="316"/>
      <c r="D162" s="270"/>
      <c r="E162" s="143"/>
      <c r="F162" s="228"/>
      <c r="G162" s="228"/>
      <c r="H162" s="143"/>
      <c r="I162" s="136"/>
      <c r="J162" s="316"/>
      <c r="K162" s="137"/>
      <c r="L162" s="314"/>
      <c r="M162" s="226" t="s">
        <v>454</v>
      </c>
      <c r="N162" s="315" t="s">
        <v>455</v>
      </c>
      <c r="O162" s="137" t="s">
        <v>431</v>
      </c>
      <c r="P162" s="137" t="s">
        <v>431</v>
      </c>
      <c r="Q162" s="334"/>
      <c r="R162" s="137" t="s">
        <v>431</v>
      </c>
      <c r="S162" s="334"/>
      <c r="T162" s="137" t="s">
        <v>431</v>
      </c>
      <c r="U162" s="178"/>
      <c r="V162" s="137" t="s">
        <v>431</v>
      </c>
      <c r="W162" s="178"/>
      <c r="X162" s="137" t="s">
        <v>431</v>
      </c>
      <c r="Y162" s="178"/>
      <c r="Z162" s="137" t="s">
        <v>431</v>
      </c>
      <c r="AA162" s="178"/>
      <c r="AB162" s="316"/>
      <c r="AC162" s="161"/>
      <c r="AD162" s="155"/>
      <c r="AE162" s="156"/>
      <c r="AF162" s="157"/>
      <c r="AG162" s="272"/>
    </row>
    <row r="163" spans="1:33" s="32" customFormat="1" ht="49.5" x14ac:dyDescent="0.35">
      <c r="A163" s="270"/>
      <c r="B163" s="316"/>
      <c r="C163" s="316"/>
      <c r="D163" s="270"/>
      <c r="E163" s="143"/>
      <c r="F163" s="228"/>
      <c r="G163" s="228"/>
      <c r="H163" s="143"/>
      <c r="I163" s="228"/>
      <c r="J163" s="316"/>
      <c r="K163" s="158" t="s">
        <v>294</v>
      </c>
      <c r="L163" s="159" t="s">
        <v>291</v>
      </c>
      <c r="M163" s="226" t="s">
        <v>299</v>
      </c>
      <c r="N163" s="315" t="s">
        <v>456</v>
      </c>
      <c r="O163" s="166">
        <v>1</v>
      </c>
      <c r="P163" s="166">
        <v>1</v>
      </c>
      <c r="Q163" s="334"/>
      <c r="R163" s="166">
        <v>1</v>
      </c>
      <c r="S163" s="334"/>
      <c r="T163" s="166">
        <v>1</v>
      </c>
      <c r="U163" s="178"/>
      <c r="V163" s="166">
        <v>1</v>
      </c>
      <c r="W163" s="178"/>
      <c r="X163" s="166">
        <v>1</v>
      </c>
      <c r="Y163" s="178"/>
      <c r="Z163" s="166">
        <v>1</v>
      </c>
      <c r="AA163" s="178"/>
      <c r="AB163" s="316"/>
      <c r="AC163" s="162"/>
      <c r="AD163" s="163"/>
      <c r="AE163" s="164"/>
      <c r="AF163" s="165"/>
      <c r="AG163" s="272"/>
    </row>
    <row r="164" spans="1:33" s="32" customFormat="1" ht="82.5" x14ac:dyDescent="0.35">
      <c r="A164" s="270"/>
      <c r="B164" s="316"/>
      <c r="C164" s="316"/>
      <c r="D164" s="270"/>
      <c r="E164" s="143"/>
      <c r="F164" s="228"/>
      <c r="G164" s="228"/>
      <c r="H164" s="143"/>
      <c r="I164" s="136"/>
      <c r="J164" s="316"/>
      <c r="K164" s="158"/>
      <c r="L164" s="159"/>
      <c r="M164" s="226" t="s">
        <v>303</v>
      </c>
      <c r="N164" s="315" t="s">
        <v>457</v>
      </c>
      <c r="O164" s="316" t="s">
        <v>227</v>
      </c>
      <c r="P164" s="316" t="s">
        <v>227</v>
      </c>
      <c r="Q164" s="335"/>
      <c r="R164" s="316" t="s">
        <v>227</v>
      </c>
      <c r="S164" s="335"/>
      <c r="T164" s="316" t="s">
        <v>227</v>
      </c>
      <c r="U164" s="351"/>
      <c r="V164" s="316" t="s">
        <v>227</v>
      </c>
      <c r="W164" s="351"/>
      <c r="X164" s="316" t="s">
        <v>227</v>
      </c>
      <c r="Y164" s="351"/>
      <c r="Z164" s="316" t="s">
        <v>227</v>
      </c>
      <c r="AA164" s="351"/>
      <c r="AB164" s="127"/>
      <c r="AC164" s="192"/>
      <c r="AD164" s="192"/>
      <c r="AE164" s="156"/>
      <c r="AF164" s="157"/>
      <c r="AG164" s="272"/>
    </row>
    <row r="165" spans="1:33" s="32" customFormat="1" ht="33" x14ac:dyDescent="0.35">
      <c r="A165" s="270"/>
      <c r="B165" s="316"/>
      <c r="C165" s="316"/>
      <c r="D165" s="270"/>
      <c r="E165" s="143"/>
      <c r="F165" s="136"/>
      <c r="G165" s="136"/>
      <c r="H165" s="136"/>
      <c r="I165" s="136"/>
      <c r="J165" s="314"/>
      <c r="K165" s="158"/>
      <c r="L165" s="159"/>
      <c r="M165" s="226" t="s">
        <v>318</v>
      </c>
      <c r="N165" s="315" t="s">
        <v>458</v>
      </c>
      <c r="O165" s="196" t="s">
        <v>432</v>
      </c>
      <c r="P165" s="196" t="s">
        <v>432</v>
      </c>
      <c r="Q165" s="334"/>
      <c r="R165" s="196" t="s">
        <v>432</v>
      </c>
      <c r="S165" s="334"/>
      <c r="T165" s="196" t="s">
        <v>432</v>
      </c>
      <c r="U165" s="178"/>
      <c r="V165" s="196" t="s">
        <v>432</v>
      </c>
      <c r="W165" s="178"/>
      <c r="X165" s="196" t="s">
        <v>432</v>
      </c>
      <c r="Y165" s="178"/>
      <c r="Z165" s="196" t="s">
        <v>432</v>
      </c>
      <c r="AA165" s="178"/>
      <c r="AB165" s="316"/>
      <c r="AC165" s="161"/>
      <c r="AD165" s="155"/>
      <c r="AE165" s="156"/>
      <c r="AF165" s="157"/>
      <c r="AG165" s="272"/>
    </row>
    <row r="166" spans="1:33" s="32" customFormat="1" ht="99" x14ac:dyDescent="0.35">
      <c r="A166" s="270"/>
      <c r="B166" s="316"/>
      <c r="C166" s="316"/>
      <c r="D166" s="270"/>
      <c r="E166" s="143"/>
      <c r="F166" s="136"/>
      <c r="G166" s="136"/>
      <c r="H166" s="136"/>
      <c r="I166" s="136"/>
      <c r="J166" s="314"/>
      <c r="K166" s="158"/>
      <c r="L166" s="159"/>
      <c r="M166" s="226" t="s">
        <v>331</v>
      </c>
      <c r="N166" s="315" t="s">
        <v>459</v>
      </c>
      <c r="O166" s="316" t="s">
        <v>452</v>
      </c>
      <c r="P166" s="316" t="s">
        <v>452</v>
      </c>
      <c r="Q166" s="334"/>
      <c r="R166" s="316" t="s">
        <v>452</v>
      </c>
      <c r="S166" s="334"/>
      <c r="T166" s="316" t="s">
        <v>452</v>
      </c>
      <c r="U166" s="178"/>
      <c r="V166" s="316" t="s">
        <v>452</v>
      </c>
      <c r="W166" s="178"/>
      <c r="X166" s="316" t="s">
        <v>452</v>
      </c>
      <c r="Y166" s="178"/>
      <c r="Z166" s="316" t="s">
        <v>452</v>
      </c>
      <c r="AA166" s="178"/>
      <c r="AB166" s="316"/>
      <c r="AC166" s="161"/>
      <c r="AD166" s="155"/>
      <c r="AE166" s="156"/>
      <c r="AF166" s="157"/>
      <c r="AG166" s="272"/>
    </row>
    <row r="167" spans="1:33" s="32" customFormat="1" ht="99" x14ac:dyDescent="0.35">
      <c r="A167" s="270"/>
      <c r="B167" s="316"/>
      <c r="C167" s="316"/>
      <c r="D167" s="270"/>
      <c r="E167" s="143"/>
      <c r="F167" s="136"/>
      <c r="G167" s="136"/>
      <c r="H167" s="136"/>
      <c r="I167" s="136"/>
      <c r="J167" s="314"/>
      <c r="K167" s="158"/>
      <c r="L167" s="159"/>
      <c r="M167" s="226" t="s">
        <v>353</v>
      </c>
      <c r="N167" s="315" t="s">
        <v>459</v>
      </c>
      <c r="O167" s="316" t="s">
        <v>452</v>
      </c>
      <c r="P167" s="316" t="s">
        <v>452</v>
      </c>
      <c r="Q167" s="334"/>
      <c r="R167" s="316" t="s">
        <v>452</v>
      </c>
      <c r="S167" s="334"/>
      <c r="T167" s="316" t="s">
        <v>452</v>
      </c>
      <c r="U167" s="178"/>
      <c r="V167" s="316" t="s">
        <v>452</v>
      </c>
      <c r="W167" s="178"/>
      <c r="X167" s="316" t="s">
        <v>452</v>
      </c>
      <c r="Y167" s="178"/>
      <c r="Z167" s="316" t="s">
        <v>452</v>
      </c>
      <c r="AA167" s="178"/>
      <c r="AB167" s="316"/>
      <c r="AC167" s="161"/>
      <c r="AD167" s="155"/>
      <c r="AE167" s="156"/>
      <c r="AF167" s="157"/>
      <c r="AG167" s="272"/>
    </row>
    <row r="168" spans="1:33" s="32" customFormat="1" ht="33" x14ac:dyDescent="0.35">
      <c r="A168" s="270"/>
      <c r="B168" s="316"/>
      <c r="C168" s="316"/>
      <c r="D168" s="270"/>
      <c r="E168" s="143"/>
      <c r="F168" s="136"/>
      <c r="G168" s="136"/>
      <c r="H168" s="136"/>
      <c r="I168" s="136"/>
      <c r="J168" s="314"/>
      <c r="K168" s="158"/>
      <c r="L168" s="159"/>
      <c r="M168" s="226" t="s">
        <v>352</v>
      </c>
      <c r="N168" s="315" t="s">
        <v>460</v>
      </c>
      <c r="O168" s="137" t="s">
        <v>431</v>
      </c>
      <c r="P168" s="137" t="s">
        <v>431</v>
      </c>
      <c r="Q168" s="334"/>
      <c r="R168" s="137" t="s">
        <v>431</v>
      </c>
      <c r="S168" s="334"/>
      <c r="T168" s="137" t="s">
        <v>431</v>
      </c>
      <c r="U168" s="178"/>
      <c r="V168" s="137" t="s">
        <v>431</v>
      </c>
      <c r="W168" s="178"/>
      <c r="X168" s="137" t="s">
        <v>431</v>
      </c>
      <c r="Y168" s="178"/>
      <c r="Z168" s="137" t="s">
        <v>431</v>
      </c>
      <c r="AA168" s="178"/>
      <c r="AB168" s="316"/>
      <c r="AC168" s="161"/>
      <c r="AD168" s="155"/>
      <c r="AE168" s="156"/>
      <c r="AF168" s="157"/>
      <c r="AG168" s="272"/>
    </row>
    <row r="169" spans="1:33" s="32" customFormat="1" ht="33" x14ac:dyDescent="0.35">
      <c r="A169" s="270"/>
      <c r="B169" s="316"/>
      <c r="C169" s="316"/>
      <c r="D169" s="270"/>
      <c r="E169" s="143"/>
      <c r="F169" s="136"/>
      <c r="G169" s="136"/>
      <c r="H169" s="136"/>
      <c r="I169" s="136"/>
      <c r="J169" s="314"/>
      <c r="K169" s="137" t="s">
        <v>295</v>
      </c>
      <c r="L169" s="314" t="s">
        <v>291</v>
      </c>
      <c r="M169" s="197" t="s">
        <v>440</v>
      </c>
      <c r="N169" s="225"/>
      <c r="O169" s="137"/>
      <c r="P169" s="137"/>
      <c r="Q169" s="334"/>
      <c r="R169" s="137"/>
      <c r="S169" s="334"/>
      <c r="T169" s="137"/>
      <c r="U169" s="178"/>
      <c r="V169" s="137"/>
      <c r="W169" s="178"/>
      <c r="X169" s="137"/>
      <c r="Y169" s="178"/>
      <c r="Z169" s="137"/>
      <c r="AA169" s="178"/>
      <c r="AB169" s="316"/>
      <c r="AC169" s="162"/>
      <c r="AD169" s="163"/>
      <c r="AE169" s="164"/>
      <c r="AF169" s="165"/>
      <c r="AG169" s="272"/>
    </row>
    <row r="170" spans="1:33" s="32" customFormat="1" ht="33" x14ac:dyDescent="0.35">
      <c r="A170" s="270"/>
      <c r="B170" s="179"/>
      <c r="C170" s="179"/>
      <c r="D170" s="284"/>
      <c r="E170" s="180"/>
      <c r="F170" s="181"/>
      <c r="G170" s="181"/>
      <c r="H170" s="181"/>
      <c r="I170" s="181"/>
      <c r="J170" s="182"/>
      <c r="K170" s="183" t="s">
        <v>297</v>
      </c>
      <c r="L170" s="182" t="s">
        <v>291</v>
      </c>
      <c r="M170" s="230" t="s">
        <v>441</v>
      </c>
      <c r="N170" s="227"/>
      <c r="O170" s="183"/>
      <c r="P170" s="183"/>
      <c r="Q170" s="337"/>
      <c r="R170" s="183"/>
      <c r="S170" s="337"/>
      <c r="T170" s="183"/>
      <c r="U170" s="350"/>
      <c r="V170" s="183"/>
      <c r="W170" s="350"/>
      <c r="X170" s="183"/>
      <c r="Y170" s="350"/>
      <c r="Z170" s="183"/>
      <c r="AA170" s="350"/>
      <c r="AB170" s="179"/>
      <c r="AC170" s="186"/>
      <c r="AD170" s="187"/>
      <c r="AE170" s="188"/>
      <c r="AF170" s="189"/>
      <c r="AG170" s="285"/>
    </row>
    <row r="171" spans="1:33" s="32" customFormat="1" ht="18" x14ac:dyDescent="0.35">
      <c r="A171" s="270"/>
      <c r="B171" s="316"/>
      <c r="C171" s="316"/>
      <c r="D171" s="270"/>
      <c r="E171" s="143"/>
      <c r="F171" s="136"/>
      <c r="G171" s="136"/>
      <c r="H171" s="136"/>
      <c r="I171" s="136"/>
      <c r="J171" s="314"/>
      <c r="K171" s="158"/>
      <c r="L171" s="159"/>
      <c r="M171" s="159"/>
      <c r="N171" s="315"/>
      <c r="O171" s="316"/>
      <c r="P171" s="316"/>
      <c r="Q171" s="334"/>
      <c r="R171" s="316"/>
      <c r="S171" s="334"/>
      <c r="T171" s="316"/>
      <c r="U171" s="178"/>
      <c r="V171" s="316"/>
      <c r="W171" s="178"/>
      <c r="X171" s="316"/>
      <c r="Y171" s="178"/>
      <c r="Z171" s="316"/>
      <c r="AA171" s="178"/>
      <c r="AB171" s="316"/>
      <c r="AC171" s="162"/>
      <c r="AD171" s="163"/>
      <c r="AE171" s="164"/>
      <c r="AF171" s="165"/>
      <c r="AG171" s="272"/>
    </row>
    <row r="172" spans="1:33" s="32" customFormat="1" ht="49.5" x14ac:dyDescent="0.35">
      <c r="A172" s="270"/>
      <c r="B172" s="316"/>
      <c r="C172" s="316"/>
      <c r="D172" s="270"/>
      <c r="E172" s="143">
        <v>1</v>
      </c>
      <c r="F172" s="136">
        <v>1</v>
      </c>
      <c r="G172" s="136">
        <v>1</v>
      </c>
      <c r="H172" s="136">
        <v>5</v>
      </c>
      <c r="I172" s="136">
        <v>3</v>
      </c>
      <c r="J172" s="314" t="s">
        <v>377</v>
      </c>
      <c r="K172" s="158" t="s">
        <v>290</v>
      </c>
      <c r="L172" s="159" t="s">
        <v>291</v>
      </c>
      <c r="M172" s="514" t="s">
        <v>312</v>
      </c>
      <c r="N172" s="515"/>
      <c r="O172" s="316" t="s">
        <v>301</v>
      </c>
      <c r="P172" s="316" t="s">
        <v>301</v>
      </c>
      <c r="Q172" s="334">
        <v>2834600000</v>
      </c>
      <c r="R172" s="316" t="s">
        <v>301</v>
      </c>
      <c r="S172" s="334">
        <f>Q172+(Q172*10%)</f>
        <v>3118060000</v>
      </c>
      <c r="T172" s="316" t="s">
        <v>301</v>
      </c>
      <c r="U172" s="334">
        <f>S172+(S172*10%)</f>
        <v>3429866000</v>
      </c>
      <c r="V172" s="316" t="s">
        <v>301</v>
      </c>
      <c r="W172" s="334">
        <f>U172+(U172*10%)-600</f>
        <v>3772852000</v>
      </c>
      <c r="X172" s="316" t="s">
        <v>301</v>
      </c>
      <c r="Y172" s="334">
        <f>W172+(W172*10%)-860</f>
        <v>4150136340</v>
      </c>
      <c r="Z172" s="316" t="s">
        <v>301</v>
      </c>
      <c r="AA172" s="178">
        <f>Y172+W172+U172+S172+Q172</f>
        <v>17305514340</v>
      </c>
      <c r="AB172" s="316" t="s">
        <v>66</v>
      </c>
      <c r="AC172" s="161"/>
      <c r="AD172" s="155"/>
      <c r="AE172" s="156"/>
      <c r="AF172" s="157"/>
      <c r="AG172" s="316" t="s">
        <v>120</v>
      </c>
    </row>
    <row r="173" spans="1:33" s="32" customFormat="1" ht="49.5" x14ac:dyDescent="0.35">
      <c r="A173" s="270"/>
      <c r="B173" s="316"/>
      <c r="C173" s="316"/>
      <c r="D173" s="270"/>
      <c r="E173" s="143"/>
      <c r="F173" s="136"/>
      <c r="G173" s="136"/>
      <c r="H173" s="136"/>
      <c r="I173" s="136"/>
      <c r="J173" s="314"/>
      <c r="K173" s="158" t="s">
        <v>293</v>
      </c>
      <c r="L173" s="159" t="s">
        <v>291</v>
      </c>
      <c r="M173" s="160" t="s">
        <v>299</v>
      </c>
      <c r="N173" s="205" t="s">
        <v>461</v>
      </c>
      <c r="O173" s="158" t="s">
        <v>462</v>
      </c>
      <c r="P173" s="158" t="s">
        <v>462</v>
      </c>
      <c r="Q173" s="334"/>
      <c r="R173" s="158" t="s">
        <v>462</v>
      </c>
      <c r="S173" s="334"/>
      <c r="T173" s="158" t="s">
        <v>462</v>
      </c>
      <c r="U173" s="178"/>
      <c r="V173" s="158" t="s">
        <v>462</v>
      </c>
      <c r="W173" s="178"/>
      <c r="X173" s="158" t="s">
        <v>462</v>
      </c>
      <c r="Y173" s="178"/>
      <c r="Z173" s="158" t="s">
        <v>462</v>
      </c>
      <c r="AA173" s="178"/>
      <c r="AB173" s="316"/>
      <c r="AC173" s="161"/>
      <c r="AD173" s="155"/>
      <c r="AE173" s="156"/>
      <c r="AF173" s="157"/>
      <c r="AG173" s="272"/>
    </row>
    <row r="174" spans="1:33" s="32" customFormat="1" ht="49.5" x14ac:dyDescent="0.35">
      <c r="A174" s="270"/>
      <c r="B174" s="316"/>
      <c r="C174" s="316"/>
      <c r="D174" s="270"/>
      <c r="E174" s="143"/>
      <c r="F174" s="136"/>
      <c r="G174" s="136"/>
      <c r="H174" s="136"/>
      <c r="I174" s="136"/>
      <c r="J174" s="314"/>
      <c r="K174" s="158"/>
      <c r="L174" s="159"/>
      <c r="M174" s="160" t="s">
        <v>303</v>
      </c>
      <c r="N174" s="225" t="s">
        <v>463</v>
      </c>
      <c r="O174" s="158" t="s">
        <v>464</v>
      </c>
      <c r="P174" s="158" t="s">
        <v>464</v>
      </c>
      <c r="Q174" s="334"/>
      <c r="R174" s="158" t="s">
        <v>464</v>
      </c>
      <c r="S174" s="334"/>
      <c r="T174" s="158" t="s">
        <v>464</v>
      </c>
      <c r="U174" s="178"/>
      <c r="V174" s="158" t="s">
        <v>464</v>
      </c>
      <c r="W174" s="178"/>
      <c r="X174" s="158" t="s">
        <v>464</v>
      </c>
      <c r="Y174" s="178"/>
      <c r="Z174" s="158" t="s">
        <v>464</v>
      </c>
      <c r="AA174" s="178"/>
      <c r="AB174" s="316"/>
      <c r="AC174" s="161"/>
      <c r="AD174" s="155"/>
      <c r="AE174" s="156"/>
      <c r="AF174" s="157"/>
      <c r="AG174" s="272"/>
    </row>
    <row r="175" spans="1:33" s="32" customFormat="1" ht="49.5" x14ac:dyDescent="0.35">
      <c r="A175" s="270"/>
      <c r="B175" s="316"/>
      <c r="C175" s="316"/>
      <c r="D175" s="270"/>
      <c r="E175" s="143"/>
      <c r="F175" s="136"/>
      <c r="G175" s="136"/>
      <c r="H175" s="136"/>
      <c r="I175" s="136"/>
      <c r="J175" s="314"/>
      <c r="K175" s="158"/>
      <c r="L175" s="159"/>
      <c r="M175" s="160" t="s">
        <v>318</v>
      </c>
      <c r="N175" s="225" t="s">
        <v>465</v>
      </c>
      <c r="O175" s="158" t="s">
        <v>466</v>
      </c>
      <c r="P175" s="158" t="s">
        <v>466</v>
      </c>
      <c r="Q175" s="334"/>
      <c r="R175" s="158" t="s">
        <v>466</v>
      </c>
      <c r="S175" s="334"/>
      <c r="T175" s="158" t="s">
        <v>466</v>
      </c>
      <c r="U175" s="178"/>
      <c r="V175" s="158" t="s">
        <v>466</v>
      </c>
      <c r="W175" s="178"/>
      <c r="X175" s="158" t="s">
        <v>466</v>
      </c>
      <c r="Y175" s="178"/>
      <c r="Z175" s="158" t="s">
        <v>466</v>
      </c>
      <c r="AA175" s="178"/>
      <c r="AB175" s="316"/>
      <c r="AC175" s="161"/>
      <c r="AD175" s="155"/>
      <c r="AE175" s="156"/>
      <c r="AF175" s="157"/>
      <c r="AG175" s="272"/>
    </row>
    <row r="176" spans="1:33" s="32" customFormat="1" ht="49.5" x14ac:dyDescent="0.35">
      <c r="A176" s="270"/>
      <c r="B176" s="316"/>
      <c r="C176" s="316"/>
      <c r="D176" s="270"/>
      <c r="E176" s="143"/>
      <c r="F176" s="136"/>
      <c r="G176" s="136"/>
      <c r="H176" s="136"/>
      <c r="I176" s="136"/>
      <c r="J176" s="314"/>
      <c r="K176" s="158"/>
      <c r="L176" s="159"/>
      <c r="M176" s="160" t="s">
        <v>331</v>
      </c>
      <c r="N176" s="225" t="s">
        <v>467</v>
      </c>
      <c r="O176" s="158" t="s">
        <v>468</v>
      </c>
      <c r="P176" s="158" t="s">
        <v>468</v>
      </c>
      <c r="Q176" s="334"/>
      <c r="R176" s="158" t="s">
        <v>468</v>
      </c>
      <c r="S176" s="334"/>
      <c r="T176" s="158" t="s">
        <v>468</v>
      </c>
      <c r="U176" s="178"/>
      <c r="V176" s="158" t="s">
        <v>468</v>
      </c>
      <c r="W176" s="178"/>
      <c r="X176" s="158" t="s">
        <v>468</v>
      </c>
      <c r="Y176" s="178"/>
      <c r="Z176" s="158" t="s">
        <v>468</v>
      </c>
      <c r="AA176" s="178"/>
      <c r="AB176" s="316"/>
      <c r="AC176" s="161"/>
      <c r="AD176" s="155"/>
      <c r="AE176" s="156"/>
      <c r="AF176" s="157"/>
      <c r="AG176" s="272"/>
    </row>
    <row r="177" spans="1:33" s="32" customFormat="1" ht="33" x14ac:dyDescent="0.35">
      <c r="A177" s="270"/>
      <c r="B177" s="316"/>
      <c r="C177" s="316"/>
      <c r="D177" s="270"/>
      <c r="E177" s="143"/>
      <c r="F177" s="136"/>
      <c r="G177" s="136"/>
      <c r="H177" s="136"/>
      <c r="I177" s="136"/>
      <c r="J177" s="314"/>
      <c r="K177" s="158"/>
      <c r="L177" s="159"/>
      <c r="M177" s="160" t="s">
        <v>353</v>
      </c>
      <c r="N177" s="205" t="s">
        <v>469</v>
      </c>
      <c r="O177" s="206" t="s">
        <v>431</v>
      </c>
      <c r="P177" s="206" t="s">
        <v>431</v>
      </c>
      <c r="Q177" s="334"/>
      <c r="R177" s="206" t="s">
        <v>431</v>
      </c>
      <c r="S177" s="334"/>
      <c r="T177" s="206" t="s">
        <v>431</v>
      </c>
      <c r="U177" s="178"/>
      <c r="V177" s="206" t="s">
        <v>431</v>
      </c>
      <c r="W177" s="178"/>
      <c r="X177" s="206" t="s">
        <v>431</v>
      </c>
      <c r="Y177" s="178"/>
      <c r="Z177" s="206" t="s">
        <v>431</v>
      </c>
      <c r="AA177" s="178"/>
      <c r="AB177" s="316"/>
      <c r="AC177" s="161"/>
      <c r="AD177" s="155"/>
      <c r="AE177" s="156"/>
      <c r="AF177" s="157"/>
      <c r="AG177" s="272"/>
    </row>
    <row r="178" spans="1:33" s="32" customFormat="1" ht="49.5" x14ac:dyDescent="0.35">
      <c r="A178" s="270"/>
      <c r="B178" s="316"/>
      <c r="C178" s="316"/>
      <c r="D178" s="270"/>
      <c r="E178" s="143"/>
      <c r="F178" s="136"/>
      <c r="G178" s="136"/>
      <c r="H178" s="136"/>
      <c r="I178" s="136"/>
      <c r="J178" s="314"/>
      <c r="K178" s="158"/>
      <c r="L178" s="159"/>
      <c r="M178" s="160" t="s">
        <v>352</v>
      </c>
      <c r="N178" s="205" t="s">
        <v>470</v>
      </c>
      <c r="O178" s="206" t="s">
        <v>471</v>
      </c>
      <c r="P178" s="206" t="s">
        <v>471</v>
      </c>
      <c r="Q178" s="334"/>
      <c r="R178" s="206" t="s">
        <v>471</v>
      </c>
      <c r="S178" s="334"/>
      <c r="T178" s="206" t="s">
        <v>471</v>
      </c>
      <c r="U178" s="178"/>
      <c r="V178" s="206" t="s">
        <v>471</v>
      </c>
      <c r="W178" s="178"/>
      <c r="X178" s="206" t="s">
        <v>471</v>
      </c>
      <c r="Y178" s="178"/>
      <c r="Z178" s="206" t="s">
        <v>471</v>
      </c>
      <c r="AA178" s="178"/>
      <c r="AB178" s="316"/>
      <c r="AC178" s="161"/>
      <c r="AD178" s="155"/>
      <c r="AE178" s="156"/>
      <c r="AF178" s="157"/>
      <c r="AG178" s="272"/>
    </row>
    <row r="179" spans="1:33" s="32" customFormat="1" ht="115.5" x14ac:dyDescent="0.35">
      <c r="A179" s="270"/>
      <c r="B179" s="316"/>
      <c r="C179" s="316"/>
      <c r="D179" s="270"/>
      <c r="E179" s="143"/>
      <c r="F179" s="136"/>
      <c r="G179" s="136"/>
      <c r="H179" s="136"/>
      <c r="I179" s="136"/>
      <c r="J179" s="314"/>
      <c r="K179" s="137"/>
      <c r="L179" s="314"/>
      <c r="M179" s="226" t="s">
        <v>402</v>
      </c>
      <c r="N179" s="205" t="s">
        <v>472</v>
      </c>
      <c r="O179" s="206" t="s">
        <v>473</v>
      </c>
      <c r="P179" s="206" t="s">
        <v>473</v>
      </c>
      <c r="Q179" s="334"/>
      <c r="R179" s="206" t="s">
        <v>473</v>
      </c>
      <c r="S179" s="334"/>
      <c r="T179" s="206" t="s">
        <v>473</v>
      </c>
      <c r="U179" s="178"/>
      <c r="V179" s="206" t="s">
        <v>473</v>
      </c>
      <c r="W179" s="178"/>
      <c r="X179" s="206" t="s">
        <v>473</v>
      </c>
      <c r="Y179" s="178"/>
      <c r="Z179" s="206" t="s">
        <v>473</v>
      </c>
      <c r="AA179" s="178"/>
      <c r="AB179" s="316"/>
      <c r="AC179" s="161"/>
      <c r="AD179" s="155"/>
      <c r="AE179" s="156"/>
      <c r="AF179" s="157"/>
      <c r="AG179" s="272"/>
    </row>
    <row r="180" spans="1:33" s="32" customFormat="1" ht="33" x14ac:dyDescent="0.35">
      <c r="A180" s="270"/>
      <c r="B180" s="316"/>
      <c r="C180" s="316"/>
      <c r="D180" s="270"/>
      <c r="E180" s="143"/>
      <c r="F180" s="136"/>
      <c r="G180" s="136"/>
      <c r="H180" s="136"/>
      <c r="I180" s="136"/>
      <c r="J180" s="314"/>
      <c r="K180" s="158" t="s">
        <v>294</v>
      </c>
      <c r="L180" s="159" t="s">
        <v>291</v>
      </c>
      <c r="M180" s="226" t="s">
        <v>299</v>
      </c>
      <c r="N180" s="321" t="s">
        <v>474</v>
      </c>
      <c r="O180" s="158" t="s">
        <v>462</v>
      </c>
      <c r="P180" s="158" t="s">
        <v>462</v>
      </c>
      <c r="Q180" s="334"/>
      <c r="R180" s="158" t="s">
        <v>462</v>
      </c>
      <c r="S180" s="334"/>
      <c r="T180" s="158" t="s">
        <v>462</v>
      </c>
      <c r="U180" s="178"/>
      <c r="V180" s="158" t="s">
        <v>462</v>
      </c>
      <c r="W180" s="178"/>
      <c r="X180" s="158" t="s">
        <v>462</v>
      </c>
      <c r="Y180" s="178"/>
      <c r="Z180" s="158" t="s">
        <v>462</v>
      </c>
      <c r="AA180" s="178"/>
      <c r="AB180" s="316"/>
      <c r="AC180" s="161"/>
      <c r="AD180" s="155"/>
      <c r="AE180" s="156"/>
      <c r="AF180" s="157"/>
      <c r="AG180" s="272"/>
    </row>
    <row r="181" spans="1:33" s="32" customFormat="1" ht="49.5" x14ac:dyDescent="0.35">
      <c r="A181" s="270"/>
      <c r="B181" s="316"/>
      <c r="C181" s="316"/>
      <c r="D181" s="270"/>
      <c r="E181" s="143"/>
      <c r="F181" s="136"/>
      <c r="G181" s="136"/>
      <c r="H181" s="136"/>
      <c r="I181" s="136"/>
      <c r="J181" s="314"/>
      <c r="K181" s="158"/>
      <c r="L181" s="159"/>
      <c r="M181" s="226" t="s">
        <v>303</v>
      </c>
      <c r="N181" s="321" t="s">
        <v>475</v>
      </c>
      <c r="O181" s="158" t="s">
        <v>464</v>
      </c>
      <c r="P181" s="158" t="s">
        <v>464</v>
      </c>
      <c r="Q181" s="334"/>
      <c r="R181" s="158" t="s">
        <v>464</v>
      </c>
      <c r="S181" s="334"/>
      <c r="T181" s="158" t="s">
        <v>464</v>
      </c>
      <c r="U181" s="178"/>
      <c r="V181" s="158" t="s">
        <v>464</v>
      </c>
      <c r="W181" s="178"/>
      <c r="X181" s="158" t="s">
        <v>464</v>
      </c>
      <c r="Y181" s="178"/>
      <c r="Z181" s="158" t="s">
        <v>464</v>
      </c>
      <c r="AA181" s="178"/>
      <c r="AB181" s="316"/>
      <c r="AC181" s="161"/>
      <c r="AD181" s="155"/>
      <c r="AE181" s="156"/>
      <c r="AF181" s="157"/>
      <c r="AG181" s="272"/>
    </row>
    <row r="182" spans="1:33" s="32" customFormat="1" ht="66" x14ac:dyDescent="0.35">
      <c r="A182" s="270"/>
      <c r="B182" s="316"/>
      <c r="C182" s="316"/>
      <c r="D182" s="270"/>
      <c r="E182" s="143"/>
      <c r="F182" s="136"/>
      <c r="G182" s="136"/>
      <c r="H182" s="136"/>
      <c r="I182" s="136"/>
      <c r="J182" s="314"/>
      <c r="K182" s="158"/>
      <c r="L182" s="159"/>
      <c r="M182" s="226" t="s">
        <v>318</v>
      </c>
      <c r="N182" s="321" t="s">
        <v>476</v>
      </c>
      <c r="O182" s="158" t="s">
        <v>466</v>
      </c>
      <c r="P182" s="158" t="s">
        <v>466</v>
      </c>
      <c r="Q182" s="334"/>
      <c r="R182" s="158" t="s">
        <v>466</v>
      </c>
      <c r="S182" s="334"/>
      <c r="T182" s="158" t="s">
        <v>466</v>
      </c>
      <c r="U182" s="178"/>
      <c r="V182" s="158" t="s">
        <v>466</v>
      </c>
      <c r="W182" s="178"/>
      <c r="X182" s="158" t="s">
        <v>466</v>
      </c>
      <c r="Y182" s="178"/>
      <c r="Z182" s="158" t="s">
        <v>466</v>
      </c>
      <c r="AA182" s="178"/>
      <c r="AB182" s="316"/>
      <c r="AC182" s="161"/>
      <c r="AD182" s="155"/>
      <c r="AE182" s="156"/>
      <c r="AF182" s="157"/>
      <c r="AG182" s="272"/>
    </row>
    <row r="183" spans="1:33" s="32" customFormat="1" ht="33" x14ac:dyDescent="0.35">
      <c r="A183" s="270"/>
      <c r="B183" s="316"/>
      <c r="C183" s="316"/>
      <c r="D183" s="270"/>
      <c r="E183" s="143"/>
      <c r="F183" s="136"/>
      <c r="G183" s="136"/>
      <c r="H183" s="136"/>
      <c r="I183" s="136"/>
      <c r="J183" s="314"/>
      <c r="K183" s="158"/>
      <c r="L183" s="159"/>
      <c r="M183" s="226" t="s">
        <v>331</v>
      </c>
      <c r="N183" s="315" t="s">
        <v>477</v>
      </c>
      <c r="O183" s="158" t="s">
        <v>468</v>
      </c>
      <c r="P183" s="158" t="s">
        <v>468</v>
      </c>
      <c r="Q183" s="334"/>
      <c r="R183" s="158" t="s">
        <v>468</v>
      </c>
      <c r="S183" s="334"/>
      <c r="T183" s="158" t="s">
        <v>468</v>
      </c>
      <c r="U183" s="178"/>
      <c r="V183" s="158" t="s">
        <v>468</v>
      </c>
      <c r="W183" s="178"/>
      <c r="X183" s="158" t="s">
        <v>468</v>
      </c>
      <c r="Y183" s="178"/>
      <c r="Z183" s="158" t="s">
        <v>468</v>
      </c>
      <c r="AA183" s="178"/>
      <c r="AB183" s="316"/>
      <c r="AC183" s="161"/>
      <c r="AD183" s="155"/>
      <c r="AE183" s="156"/>
      <c r="AF183" s="157"/>
      <c r="AG183" s="272"/>
    </row>
    <row r="184" spans="1:33" s="32" customFormat="1" ht="49.5" x14ac:dyDescent="0.35">
      <c r="A184" s="270"/>
      <c r="B184" s="316"/>
      <c r="C184" s="316"/>
      <c r="D184" s="270"/>
      <c r="E184" s="143"/>
      <c r="F184" s="136"/>
      <c r="G184" s="136"/>
      <c r="H184" s="136"/>
      <c r="I184" s="136"/>
      <c r="J184" s="314"/>
      <c r="K184" s="158"/>
      <c r="L184" s="159"/>
      <c r="M184" s="226" t="s">
        <v>353</v>
      </c>
      <c r="N184" s="315" t="s">
        <v>478</v>
      </c>
      <c r="O184" s="316" t="s">
        <v>479</v>
      </c>
      <c r="P184" s="316" t="s">
        <v>479</v>
      </c>
      <c r="Q184" s="334"/>
      <c r="R184" s="316" t="s">
        <v>479</v>
      </c>
      <c r="S184" s="334"/>
      <c r="T184" s="316" t="s">
        <v>479</v>
      </c>
      <c r="U184" s="178"/>
      <c r="V184" s="316" t="s">
        <v>479</v>
      </c>
      <c r="W184" s="178"/>
      <c r="X184" s="316" t="s">
        <v>479</v>
      </c>
      <c r="Y184" s="178"/>
      <c r="Z184" s="316" t="s">
        <v>479</v>
      </c>
      <c r="AA184" s="178"/>
      <c r="AB184" s="316"/>
      <c r="AC184" s="161"/>
      <c r="AD184" s="155"/>
      <c r="AE184" s="156"/>
      <c r="AF184" s="157"/>
      <c r="AG184" s="272"/>
    </row>
    <row r="185" spans="1:33" s="32" customFormat="1" ht="33.75" x14ac:dyDescent="0.35">
      <c r="A185" s="270"/>
      <c r="B185" s="316"/>
      <c r="C185" s="316"/>
      <c r="D185" s="270"/>
      <c r="E185" s="143"/>
      <c r="F185" s="143"/>
      <c r="G185" s="143"/>
      <c r="H185" s="143"/>
      <c r="I185" s="143"/>
      <c r="J185" s="231"/>
      <c r="K185" s="137" t="s">
        <v>295</v>
      </c>
      <c r="L185" s="314" t="s">
        <v>291</v>
      </c>
      <c r="M185" s="507" t="s">
        <v>480</v>
      </c>
      <c r="N185" s="508"/>
      <c r="O185" s="137"/>
      <c r="P185" s="137"/>
      <c r="Q185" s="334"/>
      <c r="R185" s="137"/>
      <c r="S185" s="334"/>
      <c r="T185" s="137"/>
      <c r="U185" s="178"/>
      <c r="V185" s="137"/>
      <c r="W185" s="178"/>
      <c r="X185" s="137"/>
      <c r="Y185" s="178"/>
      <c r="Z185" s="137"/>
      <c r="AA185" s="178"/>
      <c r="AB185" s="316"/>
      <c r="AC185" s="192"/>
      <c r="AD185" s="192"/>
      <c r="AE185" s="164"/>
      <c r="AF185" s="165"/>
      <c r="AG185" s="272"/>
    </row>
    <row r="186" spans="1:33" s="32" customFormat="1" ht="33" x14ac:dyDescent="0.35">
      <c r="A186" s="270"/>
      <c r="B186" s="232"/>
      <c r="C186" s="232"/>
      <c r="D186" s="284"/>
      <c r="E186" s="180"/>
      <c r="F186" s="180"/>
      <c r="G186" s="180"/>
      <c r="H186" s="180"/>
      <c r="I186" s="180"/>
      <c r="J186" s="233"/>
      <c r="K186" s="183" t="s">
        <v>297</v>
      </c>
      <c r="L186" s="182" t="s">
        <v>291</v>
      </c>
      <c r="M186" s="230" t="s">
        <v>441</v>
      </c>
      <c r="N186" s="227"/>
      <c r="O186" s="183"/>
      <c r="P186" s="183"/>
      <c r="Q186" s="337"/>
      <c r="R186" s="183"/>
      <c r="S186" s="337"/>
      <c r="T186" s="183"/>
      <c r="U186" s="350"/>
      <c r="V186" s="183"/>
      <c r="W186" s="350"/>
      <c r="X186" s="183"/>
      <c r="Y186" s="350"/>
      <c r="Z186" s="183"/>
      <c r="AA186" s="350"/>
      <c r="AB186" s="179"/>
      <c r="AC186" s="199"/>
      <c r="AD186" s="200"/>
      <c r="AE186" s="201"/>
      <c r="AF186" s="202"/>
      <c r="AG186" s="285"/>
    </row>
    <row r="187" spans="1:33" s="32" customFormat="1" ht="18" x14ac:dyDescent="0.35">
      <c r="A187" s="270"/>
      <c r="B187" s="316"/>
      <c r="C187" s="316"/>
      <c r="D187" s="270"/>
      <c r="E187" s="143"/>
      <c r="F187" s="136"/>
      <c r="G187" s="136"/>
      <c r="H187" s="136"/>
      <c r="I187" s="136"/>
      <c r="J187" s="314"/>
      <c r="K187" s="158"/>
      <c r="L187" s="159"/>
      <c r="M187" s="159"/>
      <c r="N187" s="315"/>
      <c r="O187" s="316"/>
      <c r="P187" s="316"/>
      <c r="Q187" s="334"/>
      <c r="R187" s="316"/>
      <c r="S187" s="334"/>
      <c r="T187" s="316"/>
      <c r="U187" s="178"/>
      <c r="V187" s="316"/>
      <c r="W187" s="178"/>
      <c r="X187" s="316"/>
      <c r="Y187" s="178"/>
      <c r="Z187" s="316"/>
      <c r="AA187" s="178"/>
      <c r="AB187" s="316"/>
      <c r="AC187" s="161"/>
      <c r="AD187" s="155"/>
      <c r="AE187" s="156"/>
      <c r="AF187" s="157"/>
      <c r="AG187" s="272"/>
    </row>
    <row r="188" spans="1:33" s="32" customFormat="1" ht="162" x14ac:dyDescent="0.35">
      <c r="A188" s="270"/>
      <c r="B188" s="127" t="s">
        <v>1059</v>
      </c>
      <c r="C188" s="127" t="s">
        <v>481</v>
      </c>
      <c r="D188" s="127" t="s">
        <v>1065</v>
      </c>
      <c r="E188" s="128">
        <v>1</v>
      </c>
      <c r="F188" s="142">
        <v>1</v>
      </c>
      <c r="G188" s="142">
        <v>1</v>
      </c>
      <c r="H188" s="142">
        <v>6</v>
      </c>
      <c r="I188" s="142"/>
      <c r="J188" s="318" t="s">
        <v>119</v>
      </c>
      <c r="K188" s="511" t="s">
        <v>482</v>
      </c>
      <c r="L188" s="512"/>
      <c r="M188" s="512"/>
      <c r="N188" s="513"/>
      <c r="O188" s="234" t="s">
        <v>1025</v>
      </c>
      <c r="P188" s="234" t="s">
        <v>1026</v>
      </c>
      <c r="Q188" s="333">
        <f>SUM(Q189:Q202)</f>
        <v>1945000000</v>
      </c>
      <c r="R188" s="234" t="s">
        <v>1027</v>
      </c>
      <c r="S188" s="333">
        <f>SUM(S189:S202)</f>
        <v>2139500000</v>
      </c>
      <c r="T188" s="234" t="s">
        <v>1036</v>
      </c>
      <c r="U188" s="333">
        <f>SUM(U189:U202)</f>
        <v>2353450000</v>
      </c>
      <c r="V188" s="234" t="s">
        <v>1037</v>
      </c>
      <c r="W188" s="333">
        <f>SUM(W189:W202)</f>
        <v>2588795000</v>
      </c>
      <c r="X188" s="357">
        <v>0.8</v>
      </c>
      <c r="Y188" s="333">
        <f>SUM(Y189:Y202)</f>
        <v>2847674500</v>
      </c>
      <c r="Z188" s="357">
        <v>0.8</v>
      </c>
      <c r="AA188" s="351">
        <f>Y188+W188+U188+S188+Q188</f>
        <v>11874419500</v>
      </c>
      <c r="AB188" s="127" t="s">
        <v>66</v>
      </c>
      <c r="AC188" s="192"/>
      <c r="AD188" s="224"/>
      <c r="AE188" s="203"/>
      <c r="AF188" s="204"/>
      <c r="AG188" s="316" t="s">
        <v>120</v>
      </c>
    </row>
    <row r="189" spans="1:33" s="32" customFormat="1" ht="18" x14ac:dyDescent="0.35">
      <c r="A189" s="270"/>
      <c r="B189" s="316"/>
      <c r="C189" s="316"/>
      <c r="D189" s="270"/>
      <c r="E189" s="143"/>
      <c r="F189" s="136"/>
      <c r="G189" s="136"/>
      <c r="H189" s="136"/>
      <c r="I189" s="136"/>
      <c r="J189" s="314"/>
      <c r="K189" s="158"/>
      <c r="L189" s="159"/>
      <c r="M189" s="159"/>
      <c r="N189" s="315"/>
      <c r="O189" s="316"/>
      <c r="P189" s="316"/>
      <c r="Q189" s="334"/>
      <c r="R189" s="316"/>
      <c r="S189" s="334"/>
      <c r="T189" s="316"/>
      <c r="U189" s="178"/>
      <c r="V189" s="316"/>
      <c r="W189" s="178"/>
      <c r="X189" s="316"/>
      <c r="Y189" s="178"/>
      <c r="Z189" s="316"/>
      <c r="AA189" s="178"/>
      <c r="AB189" s="316"/>
      <c r="AC189" s="161"/>
      <c r="AD189" s="155"/>
      <c r="AE189" s="156"/>
      <c r="AF189" s="157"/>
      <c r="AG189" s="316"/>
    </row>
    <row r="190" spans="1:33" s="63" customFormat="1" ht="49.5" x14ac:dyDescent="0.35">
      <c r="A190" s="289"/>
      <c r="B190" s="316"/>
      <c r="C190" s="316"/>
      <c r="D190" s="289"/>
      <c r="E190" s="143">
        <v>1</v>
      </c>
      <c r="F190" s="136">
        <v>1</v>
      </c>
      <c r="G190" s="136">
        <v>1</v>
      </c>
      <c r="H190" s="136">
        <v>6</v>
      </c>
      <c r="I190" s="136">
        <v>1</v>
      </c>
      <c r="J190" s="314" t="s">
        <v>378</v>
      </c>
      <c r="K190" s="158" t="s">
        <v>290</v>
      </c>
      <c r="L190" s="159" t="s">
        <v>291</v>
      </c>
      <c r="M190" s="514" t="s">
        <v>312</v>
      </c>
      <c r="N190" s="515"/>
      <c r="O190" s="316" t="s">
        <v>301</v>
      </c>
      <c r="P190" s="316" t="s">
        <v>301</v>
      </c>
      <c r="Q190" s="334">
        <v>445000000</v>
      </c>
      <c r="R190" s="316" t="s">
        <v>301</v>
      </c>
      <c r="S190" s="334">
        <f>Q190+(Q190*10%)</f>
        <v>489500000</v>
      </c>
      <c r="T190" s="316" t="s">
        <v>301</v>
      </c>
      <c r="U190" s="334">
        <f>S190+(S190*10%)</f>
        <v>538450000</v>
      </c>
      <c r="V190" s="316" t="s">
        <v>301</v>
      </c>
      <c r="W190" s="334">
        <f>U190+(U190*10%)</f>
        <v>592295000</v>
      </c>
      <c r="X190" s="316" t="s">
        <v>301</v>
      </c>
      <c r="Y190" s="334">
        <f>W190+(W190*10%)</f>
        <v>651524500</v>
      </c>
      <c r="Z190" s="316" t="s">
        <v>301</v>
      </c>
      <c r="AA190" s="178">
        <f>Y190+W190+U190+S190+Q190</f>
        <v>2716769500</v>
      </c>
      <c r="AB190" s="316" t="s">
        <v>66</v>
      </c>
      <c r="AC190" s="161"/>
      <c r="AD190" s="155"/>
      <c r="AE190" s="156"/>
      <c r="AF190" s="157"/>
      <c r="AG190" s="316" t="s">
        <v>120</v>
      </c>
    </row>
    <row r="191" spans="1:33" s="63" customFormat="1" ht="49.5" x14ac:dyDescent="0.35">
      <c r="A191" s="289"/>
      <c r="B191" s="316"/>
      <c r="C191" s="316"/>
      <c r="D191" s="289"/>
      <c r="E191" s="143"/>
      <c r="F191" s="136"/>
      <c r="G191" s="136"/>
      <c r="H191" s="136"/>
      <c r="I191" s="136"/>
      <c r="J191" s="314"/>
      <c r="K191" s="158" t="s">
        <v>293</v>
      </c>
      <c r="L191" s="159" t="s">
        <v>291</v>
      </c>
      <c r="M191" s="160" t="s">
        <v>299</v>
      </c>
      <c r="N191" s="315" t="s">
        <v>483</v>
      </c>
      <c r="O191" s="137" t="s">
        <v>411</v>
      </c>
      <c r="P191" s="137" t="s">
        <v>411</v>
      </c>
      <c r="Q191" s="334"/>
      <c r="R191" s="137" t="s">
        <v>411</v>
      </c>
      <c r="S191" s="334"/>
      <c r="T191" s="137" t="s">
        <v>411</v>
      </c>
      <c r="U191" s="178"/>
      <c r="V191" s="137" t="s">
        <v>411</v>
      </c>
      <c r="W191" s="178"/>
      <c r="X191" s="137" t="s">
        <v>411</v>
      </c>
      <c r="Y191" s="178"/>
      <c r="Z191" s="137" t="s">
        <v>411</v>
      </c>
      <c r="AA191" s="178"/>
      <c r="AB191" s="316"/>
      <c r="AC191" s="161"/>
      <c r="AD191" s="155"/>
      <c r="AE191" s="156"/>
      <c r="AF191" s="157"/>
      <c r="AG191" s="290"/>
    </row>
    <row r="192" spans="1:33" s="63" customFormat="1" ht="49.5" x14ac:dyDescent="0.35">
      <c r="A192" s="289"/>
      <c r="B192" s="316"/>
      <c r="C192" s="316"/>
      <c r="D192" s="289"/>
      <c r="E192" s="143"/>
      <c r="F192" s="136"/>
      <c r="G192" s="136"/>
      <c r="H192" s="136"/>
      <c r="I192" s="136"/>
      <c r="J192" s="314"/>
      <c r="K192" s="158"/>
      <c r="L192" s="159"/>
      <c r="M192" s="160" t="s">
        <v>303</v>
      </c>
      <c r="N192" s="205" t="s">
        <v>484</v>
      </c>
      <c r="O192" s="158" t="s">
        <v>485</v>
      </c>
      <c r="P192" s="158" t="s">
        <v>485</v>
      </c>
      <c r="Q192" s="334"/>
      <c r="R192" s="158" t="s">
        <v>485</v>
      </c>
      <c r="S192" s="334"/>
      <c r="T192" s="158" t="s">
        <v>485</v>
      </c>
      <c r="U192" s="178"/>
      <c r="V192" s="158" t="s">
        <v>485</v>
      </c>
      <c r="W192" s="178"/>
      <c r="X192" s="158" t="s">
        <v>485</v>
      </c>
      <c r="Y192" s="178"/>
      <c r="Z192" s="158" t="s">
        <v>485</v>
      </c>
      <c r="AA192" s="178"/>
      <c r="AB192" s="316"/>
      <c r="AC192" s="161"/>
      <c r="AD192" s="155"/>
      <c r="AE192" s="156"/>
      <c r="AF192" s="157"/>
      <c r="AG192" s="290"/>
    </row>
    <row r="193" spans="1:33" s="63" customFormat="1" ht="49.5" x14ac:dyDescent="0.35">
      <c r="A193" s="289"/>
      <c r="B193" s="316"/>
      <c r="C193" s="316"/>
      <c r="D193" s="289"/>
      <c r="E193" s="143"/>
      <c r="F193" s="136"/>
      <c r="G193" s="136"/>
      <c r="H193" s="136"/>
      <c r="I193" s="136"/>
      <c r="J193" s="314"/>
      <c r="K193" s="158" t="s">
        <v>294</v>
      </c>
      <c r="L193" s="159" t="s">
        <v>291</v>
      </c>
      <c r="M193" s="226" t="s">
        <v>299</v>
      </c>
      <c r="N193" s="315" t="s">
        <v>486</v>
      </c>
      <c r="O193" s="137" t="s">
        <v>411</v>
      </c>
      <c r="P193" s="137" t="s">
        <v>411</v>
      </c>
      <c r="Q193" s="334"/>
      <c r="R193" s="137" t="s">
        <v>411</v>
      </c>
      <c r="S193" s="334"/>
      <c r="T193" s="137" t="s">
        <v>411</v>
      </c>
      <c r="U193" s="178"/>
      <c r="V193" s="137" t="s">
        <v>411</v>
      </c>
      <c r="W193" s="178"/>
      <c r="X193" s="137" t="s">
        <v>411</v>
      </c>
      <c r="Y193" s="178"/>
      <c r="Z193" s="137" t="s">
        <v>411</v>
      </c>
      <c r="AA193" s="178"/>
      <c r="AB193" s="316"/>
      <c r="AC193" s="161"/>
      <c r="AD193" s="155"/>
      <c r="AE193" s="156"/>
      <c r="AF193" s="157"/>
      <c r="AG193" s="290"/>
    </row>
    <row r="194" spans="1:33" s="63" customFormat="1" ht="66" x14ac:dyDescent="0.35">
      <c r="A194" s="289"/>
      <c r="B194" s="316"/>
      <c r="C194" s="316"/>
      <c r="D194" s="289"/>
      <c r="E194" s="143"/>
      <c r="F194" s="136"/>
      <c r="G194" s="136"/>
      <c r="H194" s="136"/>
      <c r="I194" s="136"/>
      <c r="J194" s="314"/>
      <c r="K194" s="158"/>
      <c r="L194" s="159"/>
      <c r="M194" s="226" t="s">
        <v>303</v>
      </c>
      <c r="N194" s="315" t="s">
        <v>487</v>
      </c>
      <c r="O194" s="158" t="s">
        <v>485</v>
      </c>
      <c r="P194" s="158" t="s">
        <v>485</v>
      </c>
      <c r="Q194" s="334"/>
      <c r="R194" s="158" t="s">
        <v>485</v>
      </c>
      <c r="S194" s="334"/>
      <c r="T194" s="158" t="s">
        <v>485</v>
      </c>
      <c r="U194" s="178"/>
      <c r="V194" s="158" t="s">
        <v>485</v>
      </c>
      <c r="W194" s="178"/>
      <c r="X194" s="158" t="s">
        <v>485</v>
      </c>
      <c r="Y194" s="178"/>
      <c r="Z194" s="158" t="s">
        <v>485</v>
      </c>
      <c r="AA194" s="178"/>
      <c r="AB194" s="316"/>
      <c r="AC194" s="161"/>
      <c r="AD194" s="155"/>
      <c r="AE194" s="156"/>
      <c r="AF194" s="157"/>
      <c r="AG194" s="290"/>
    </row>
    <row r="195" spans="1:33" s="63" customFormat="1" ht="33.75" x14ac:dyDescent="0.35">
      <c r="A195" s="289"/>
      <c r="B195" s="316"/>
      <c r="C195" s="316"/>
      <c r="D195" s="289"/>
      <c r="E195" s="143"/>
      <c r="F195" s="136"/>
      <c r="G195" s="136"/>
      <c r="H195" s="136"/>
      <c r="I195" s="136"/>
      <c r="J195" s="314"/>
      <c r="K195" s="137" t="s">
        <v>295</v>
      </c>
      <c r="L195" s="314" t="s">
        <v>291</v>
      </c>
      <c r="M195" s="507" t="s">
        <v>488</v>
      </c>
      <c r="N195" s="508"/>
      <c r="O195" s="316"/>
      <c r="P195" s="316"/>
      <c r="Q195" s="334"/>
      <c r="R195" s="316"/>
      <c r="S195" s="334"/>
      <c r="T195" s="316"/>
      <c r="U195" s="178"/>
      <c r="V195" s="316"/>
      <c r="W195" s="178"/>
      <c r="X195" s="316"/>
      <c r="Y195" s="178"/>
      <c r="Z195" s="316"/>
      <c r="AA195" s="178"/>
      <c r="AB195" s="316"/>
      <c r="AC195" s="161"/>
      <c r="AD195" s="155"/>
      <c r="AE195" s="156"/>
      <c r="AF195" s="157"/>
      <c r="AG195" s="290"/>
    </row>
    <row r="196" spans="1:33" s="63" customFormat="1" ht="33" x14ac:dyDescent="0.35">
      <c r="A196" s="289"/>
      <c r="B196" s="179"/>
      <c r="C196" s="179"/>
      <c r="D196" s="291"/>
      <c r="E196" s="180"/>
      <c r="F196" s="181"/>
      <c r="G196" s="181"/>
      <c r="H196" s="181"/>
      <c r="I196" s="181"/>
      <c r="J196" s="182"/>
      <c r="K196" s="183" t="s">
        <v>297</v>
      </c>
      <c r="L196" s="182" t="s">
        <v>291</v>
      </c>
      <c r="M196" s="230" t="s">
        <v>441</v>
      </c>
      <c r="N196" s="227"/>
      <c r="O196" s="179"/>
      <c r="P196" s="179"/>
      <c r="Q196" s="337"/>
      <c r="R196" s="179"/>
      <c r="S196" s="337"/>
      <c r="T196" s="179"/>
      <c r="U196" s="350"/>
      <c r="V196" s="179"/>
      <c r="W196" s="350"/>
      <c r="X196" s="179"/>
      <c r="Y196" s="350"/>
      <c r="Z196" s="179"/>
      <c r="AA196" s="350"/>
      <c r="AB196" s="179"/>
      <c r="AC196" s="186"/>
      <c r="AD196" s="187"/>
      <c r="AE196" s="188"/>
      <c r="AF196" s="189"/>
      <c r="AG196" s="292"/>
    </row>
    <row r="197" spans="1:33" s="63" customFormat="1" ht="18" x14ac:dyDescent="0.35">
      <c r="A197" s="289"/>
      <c r="B197" s="316"/>
      <c r="C197" s="316"/>
      <c r="D197" s="289"/>
      <c r="E197" s="143"/>
      <c r="F197" s="136"/>
      <c r="G197" s="136"/>
      <c r="H197" s="136"/>
      <c r="I197" s="136"/>
      <c r="J197" s="314"/>
      <c r="K197" s="158"/>
      <c r="L197" s="159"/>
      <c r="M197" s="159"/>
      <c r="N197" s="315"/>
      <c r="O197" s="316"/>
      <c r="P197" s="316"/>
      <c r="Q197" s="334"/>
      <c r="R197" s="316"/>
      <c r="S197" s="334"/>
      <c r="T197" s="316"/>
      <c r="U197" s="178"/>
      <c r="V197" s="316"/>
      <c r="W197" s="178"/>
      <c r="X197" s="316"/>
      <c r="Y197" s="178"/>
      <c r="Z197" s="316"/>
      <c r="AA197" s="178"/>
      <c r="AB197" s="316"/>
      <c r="AC197" s="161"/>
      <c r="AD197" s="155"/>
      <c r="AE197" s="156"/>
      <c r="AF197" s="157"/>
      <c r="AG197" s="290"/>
    </row>
    <row r="198" spans="1:33" s="32" customFormat="1" ht="33" x14ac:dyDescent="0.35">
      <c r="A198" s="270"/>
      <c r="B198" s="316"/>
      <c r="C198" s="316"/>
      <c r="D198" s="270"/>
      <c r="E198" s="143">
        <v>1</v>
      </c>
      <c r="F198" s="136">
        <v>1</v>
      </c>
      <c r="G198" s="136">
        <v>1</v>
      </c>
      <c r="H198" s="136">
        <v>6</v>
      </c>
      <c r="I198" s="136">
        <v>2</v>
      </c>
      <c r="J198" s="314" t="s">
        <v>379</v>
      </c>
      <c r="K198" s="158" t="s">
        <v>290</v>
      </c>
      <c r="L198" s="159" t="s">
        <v>291</v>
      </c>
      <c r="M198" s="514" t="s">
        <v>312</v>
      </c>
      <c r="N198" s="515"/>
      <c r="O198" s="316" t="s">
        <v>301</v>
      </c>
      <c r="P198" s="316" t="s">
        <v>301</v>
      </c>
      <c r="Q198" s="334">
        <v>1500000000</v>
      </c>
      <c r="R198" s="316" t="s">
        <v>301</v>
      </c>
      <c r="S198" s="334">
        <f>Q198+(Q198*10%)</f>
        <v>1650000000</v>
      </c>
      <c r="T198" s="316" t="s">
        <v>301</v>
      </c>
      <c r="U198" s="334">
        <f>S198+(S198*10%)</f>
        <v>1815000000</v>
      </c>
      <c r="V198" s="316" t="s">
        <v>301</v>
      </c>
      <c r="W198" s="334">
        <f>U198+(U198*10%)</f>
        <v>1996500000</v>
      </c>
      <c r="X198" s="316" t="s">
        <v>301</v>
      </c>
      <c r="Y198" s="334">
        <f>W198+(W198*10%)</f>
        <v>2196150000</v>
      </c>
      <c r="Z198" s="316" t="s">
        <v>301</v>
      </c>
      <c r="AA198" s="178">
        <f>Y198+W198+U198+S198+Q198</f>
        <v>9157650000</v>
      </c>
      <c r="AB198" s="316" t="s">
        <v>66</v>
      </c>
      <c r="AC198" s="161"/>
      <c r="AD198" s="155"/>
      <c r="AE198" s="156"/>
      <c r="AF198" s="157"/>
      <c r="AG198" s="316" t="s">
        <v>66</v>
      </c>
    </row>
    <row r="199" spans="1:33" s="32" customFormat="1" ht="117" x14ac:dyDescent="0.35">
      <c r="A199" s="270"/>
      <c r="B199" s="316"/>
      <c r="C199" s="316"/>
      <c r="D199" s="270"/>
      <c r="E199" s="143"/>
      <c r="F199" s="136"/>
      <c r="G199" s="136"/>
      <c r="H199" s="136"/>
      <c r="I199" s="136"/>
      <c r="J199" s="314"/>
      <c r="K199" s="158" t="s">
        <v>293</v>
      </c>
      <c r="L199" s="159" t="s">
        <v>291</v>
      </c>
      <c r="M199" s="160" t="s">
        <v>299</v>
      </c>
      <c r="N199" s="315" t="s">
        <v>1010</v>
      </c>
      <c r="O199" s="137" t="s">
        <v>489</v>
      </c>
      <c r="P199" s="137" t="s">
        <v>489</v>
      </c>
      <c r="Q199" s="334"/>
      <c r="R199" s="137" t="s">
        <v>489</v>
      </c>
      <c r="S199" s="334"/>
      <c r="T199" s="137" t="s">
        <v>489</v>
      </c>
      <c r="U199" s="178"/>
      <c r="V199" s="137" t="s">
        <v>489</v>
      </c>
      <c r="W199" s="178"/>
      <c r="X199" s="137" t="s">
        <v>489</v>
      </c>
      <c r="Y199" s="178"/>
      <c r="Z199" s="137" t="s">
        <v>489</v>
      </c>
      <c r="AA199" s="178"/>
      <c r="AB199" s="316"/>
      <c r="AC199" s="161"/>
      <c r="AD199" s="155"/>
      <c r="AE199" s="156"/>
      <c r="AF199" s="157"/>
      <c r="AG199" s="272"/>
    </row>
    <row r="200" spans="1:33" s="32" customFormat="1" ht="49.5" x14ac:dyDescent="0.35">
      <c r="A200" s="270"/>
      <c r="B200" s="316"/>
      <c r="C200" s="316"/>
      <c r="D200" s="270"/>
      <c r="E200" s="143"/>
      <c r="F200" s="136"/>
      <c r="G200" s="136"/>
      <c r="H200" s="136"/>
      <c r="I200" s="136"/>
      <c r="J200" s="314"/>
      <c r="K200" s="158" t="s">
        <v>294</v>
      </c>
      <c r="L200" s="159" t="s">
        <v>291</v>
      </c>
      <c r="M200" s="226" t="s">
        <v>299</v>
      </c>
      <c r="N200" s="315" t="s">
        <v>1011</v>
      </c>
      <c r="O200" s="166" t="s">
        <v>490</v>
      </c>
      <c r="P200" s="166" t="s">
        <v>490</v>
      </c>
      <c r="Q200" s="334"/>
      <c r="R200" s="166" t="s">
        <v>490</v>
      </c>
      <c r="S200" s="334"/>
      <c r="T200" s="166" t="s">
        <v>490</v>
      </c>
      <c r="U200" s="178"/>
      <c r="V200" s="166" t="s">
        <v>490</v>
      </c>
      <c r="W200" s="178"/>
      <c r="X200" s="166" t="s">
        <v>490</v>
      </c>
      <c r="Y200" s="178"/>
      <c r="Z200" s="166" t="s">
        <v>490</v>
      </c>
      <c r="AA200" s="178"/>
      <c r="AB200" s="316"/>
      <c r="AC200" s="161"/>
      <c r="AD200" s="155"/>
      <c r="AE200" s="156"/>
      <c r="AF200" s="157"/>
      <c r="AG200" s="272"/>
    </row>
    <row r="201" spans="1:33" s="32" customFormat="1" ht="33.75" x14ac:dyDescent="0.35">
      <c r="A201" s="270"/>
      <c r="B201" s="316"/>
      <c r="C201" s="316"/>
      <c r="D201" s="270"/>
      <c r="E201" s="143"/>
      <c r="F201" s="136"/>
      <c r="G201" s="136"/>
      <c r="H201" s="136"/>
      <c r="I201" s="136"/>
      <c r="J201" s="314"/>
      <c r="K201" s="137" t="s">
        <v>295</v>
      </c>
      <c r="L201" s="314" t="s">
        <v>291</v>
      </c>
      <c r="M201" s="507" t="s">
        <v>491</v>
      </c>
      <c r="N201" s="508"/>
      <c r="O201" s="316"/>
      <c r="P201" s="316"/>
      <c r="Q201" s="334"/>
      <c r="R201" s="316"/>
      <c r="S201" s="334"/>
      <c r="T201" s="316"/>
      <c r="U201" s="178"/>
      <c r="V201" s="316"/>
      <c r="W201" s="178"/>
      <c r="X201" s="316"/>
      <c r="Y201" s="178"/>
      <c r="Z201" s="316"/>
      <c r="AA201" s="178"/>
      <c r="AB201" s="316"/>
      <c r="AC201" s="161"/>
      <c r="AD201" s="155"/>
      <c r="AE201" s="156"/>
      <c r="AF201" s="157"/>
      <c r="AG201" s="272"/>
    </row>
    <row r="202" spans="1:33" s="32" customFormat="1" ht="33" x14ac:dyDescent="0.35">
      <c r="A202" s="270"/>
      <c r="B202" s="179"/>
      <c r="C202" s="179"/>
      <c r="D202" s="284"/>
      <c r="E202" s="180"/>
      <c r="F202" s="181"/>
      <c r="G202" s="181"/>
      <c r="H202" s="181"/>
      <c r="I202" s="181"/>
      <c r="J202" s="182"/>
      <c r="K202" s="183" t="s">
        <v>297</v>
      </c>
      <c r="L202" s="182" t="s">
        <v>291</v>
      </c>
      <c r="M202" s="230" t="s">
        <v>441</v>
      </c>
      <c r="N202" s="227"/>
      <c r="O202" s="179"/>
      <c r="P202" s="179"/>
      <c r="Q202" s="337"/>
      <c r="R202" s="179"/>
      <c r="S202" s="337"/>
      <c r="T202" s="179"/>
      <c r="U202" s="350"/>
      <c r="V202" s="179"/>
      <c r="W202" s="350"/>
      <c r="X202" s="179"/>
      <c r="Y202" s="350"/>
      <c r="Z202" s="179"/>
      <c r="AA202" s="350"/>
      <c r="AB202" s="179"/>
      <c r="AC202" s="186"/>
      <c r="AD202" s="187"/>
      <c r="AE202" s="188"/>
      <c r="AF202" s="189"/>
      <c r="AG202" s="285"/>
    </row>
    <row r="203" spans="1:33" s="63" customFormat="1" ht="18" x14ac:dyDescent="0.35">
      <c r="A203" s="289"/>
      <c r="B203" s="316"/>
      <c r="C203" s="316"/>
      <c r="D203" s="289"/>
      <c r="E203" s="143"/>
      <c r="F203" s="136"/>
      <c r="G203" s="136"/>
      <c r="H203" s="136"/>
      <c r="I203" s="136"/>
      <c r="J203" s="314"/>
      <c r="K203" s="158"/>
      <c r="L203" s="159"/>
      <c r="M203" s="159"/>
      <c r="N203" s="315"/>
      <c r="O203" s="316"/>
      <c r="P203" s="316"/>
      <c r="Q203" s="334"/>
      <c r="R203" s="316"/>
      <c r="S203" s="334"/>
      <c r="T203" s="316"/>
      <c r="U203" s="178"/>
      <c r="V203" s="316"/>
      <c r="W203" s="178"/>
      <c r="X203" s="316"/>
      <c r="Y203" s="178"/>
      <c r="Z203" s="316"/>
      <c r="AA203" s="178"/>
      <c r="AB203" s="316"/>
      <c r="AC203" s="161"/>
      <c r="AD203" s="155"/>
      <c r="AE203" s="156"/>
      <c r="AF203" s="157"/>
      <c r="AG203" s="290"/>
    </row>
    <row r="204" spans="1:33" s="63" customFormat="1" ht="18" x14ac:dyDescent="0.35">
      <c r="A204" s="289"/>
      <c r="B204" s="316"/>
      <c r="C204" s="316"/>
      <c r="D204" s="289"/>
      <c r="E204" s="128"/>
      <c r="F204" s="128"/>
      <c r="G204" s="128"/>
      <c r="H204" s="128"/>
      <c r="I204" s="128"/>
      <c r="J204" s="127" t="s">
        <v>130</v>
      </c>
      <c r="K204" s="158"/>
      <c r="L204" s="159"/>
      <c r="M204" s="159"/>
      <c r="N204" s="315"/>
      <c r="O204" s="316"/>
      <c r="P204" s="316"/>
      <c r="Q204" s="334"/>
      <c r="R204" s="316"/>
      <c r="S204" s="334"/>
      <c r="T204" s="316"/>
      <c r="U204" s="178"/>
      <c r="V204" s="316"/>
      <c r="W204" s="178"/>
      <c r="X204" s="316"/>
      <c r="Y204" s="178"/>
      <c r="Z204" s="316"/>
      <c r="AA204" s="178"/>
      <c r="AB204" s="316"/>
      <c r="AC204" s="161"/>
      <c r="AD204" s="155"/>
      <c r="AE204" s="156"/>
      <c r="AF204" s="157"/>
      <c r="AG204" s="290"/>
    </row>
    <row r="205" spans="1:33" s="63" customFormat="1" ht="18" x14ac:dyDescent="0.35">
      <c r="A205" s="289"/>
      <c r="B205" s="316"/>
      <c r="C205" s="316"/>
      <c r="D205" s="289"/>
      <c r="E205" s="128">
        <v>1</v>
      </c>
      <c r="F205" s="235" t="s">
        <v>131</v>
      </c>
      <c r="G205" s="235" t="s">
        <v>131</v>
      </c>
      <c r="H205" s="128"/>
      <c r="I205" s="128"/>
      <c r="J205" s="127" t="s">
        <v>132</v>
      </c>
      <c r="K205" s="158"/>
      <c r="L205" s="159"/>
      <c r="M205" s="159"/>
      <c r="N205" s="315"/>
      <c r="O205" s="316"/>
      <c r="P205" s="316"/>
      <c r="Q205" s="334"/>
      <c r="R205" s="316"/>
      <c r="S205" s="334"/>
      <c r="T205" s="316"/>
      <c r="U205" s="178"/>
      <c r="V205" s="316"/>
      <c r="W205" s="178"/>
      <c r="X205" s="316"/>
      <c r="Y205" s="178"/>
      <c r="Z205" s="316"/>
      <c r="AA205" s="178"/>
      <c r="AB205" s="316"/>
      <c r="AC205" s="161"/>
      <c r="AD205" s="155"/>
      <c r="AE205" s="156"/>
      <c r="AF205" s="157"/>
      <c r="AG205" s="290"/>
    </row>
    <row r="206" spans="1:33" s="32" customFormat="1" ht="18" x14ac:dyDescent="0.35">
      <c r="A206" s="270"/>
      <c r="B206" s="316"/>
      <c r="C206" s="316"/>
      <c r="D206" s="270"/>
      <c r="E206" s="143"/>
      <c r="F206" s="228"/>
      <c r="G206" s="228"/>
      <c r="H206" s="143"/>
      <c r="I206" s="143"/>
      <c r="J206" s="316"/>
      <c r="K206" s="158"/>
      <c r="L206" s="159"/>
      <c r="M206" s="159"/>
      <c r="N206" s="315"/>
      <c r="O206" s="316"/>
      <c r="P206" s="316"/>
      <c r="Q206" s="334"/>
      <c r="R206" s="316"/>
      <c r="S206" s="334"/>
      <c r="T206" s="316"/>
      <c r="U206" s="178"/>
      <c r="V206" s="316"/>
      <c r="W206" s="178"/>
      <c r="X206" s="316"/>
      <c r="Y206" s="178"/>
      <c r="Z206" s="316"/>
      <c r="AA206" s="178"/>
      <c r="AB206" s="316"/>
      <c r="AC206" s="161"/>
      <c r="AD206" s="155"/>
      <c r="AE206" s="156"/>
      <c r="AF206" s="157"/>
      <c r="AG206" s="272"/>
    </row>
    <row r="207" spans="1:33" s="63" customFormat="1" ht="18" x14ac:dyDescent="0.35">
      <c r="A207" s="289"/>
      <c r="B207" s="316"/>
      <c r="C207" s="316"/>
      <c r="D207" s="289"/>
      <c r="E207" s="128"/>
      <c r="F207" s="128"/>
      <c r="G207" s="128"/>
      <c r="H207" s="128"/>
      <c r="I207" s="128"/>
      <c r="J207" s="127" t="s">
        <v>60</v>
      </c>
      <c r="K207" s="158"/>
      <c r="L207" s="159"/>
      <c r="M207" s="159"/>
      <c r="N207" s="315"/>
      <c r="O207" s="316"/>
      <c r="P207" s="316"/>
      <c r="Q207" s="334"/>
      <c r="R207" s="316"/>
      <c r="S207" s="334"/>
      <c r="T207" s="316"/>
      <c r="U207" s="178"/>
      <c r="V207" s="316"/>
      <c r="W207" s="178"/>
      <c r="X207" s="316"/>
      <c r="Y207" s="178"/>
      <c r="Z207" s="316"/>
      <c r="AA207" s="178"/>
      <c r="AB207" s="316"/>
      <c r="AC207" s="161"/>
      <c r="AD207" s="155"/>
      <c r="AE207" s="156"/>
      <c r="AF207" s="157"/>
      <c r="AG207" s="290"/>
    </row>
    <row r="208" spans="1:33" s="32" customFormat="1" ht="198" x14ac:dyDescent="0.35">
      <c r="A208" s="270"/>
      <c r="B208" s="127" t="s">
        <v>1059</v>
      </c>
      <c r="C208" s="127" t="s">
        <v>1058</v>
      </c>
      <c r="D208" s="127" t="s">
        <v>1062</v>
      </c>
      <c r="E208" s="128">
        <v>1</v>
      </c>
      <c r="F208" s="235" t="s">
        <v>131</v>
      </c>
      <c r="G208" s="235" t="s">
        <v>131</v>
      </c>
      <c r="H208" s="128">
        <v>10</v>
      </c>
      <c r="I208" s="128"/>
      <c r="J208" s="236" t="s">
        <v>133</v>
      </c>
      <c r="K208" s="511" t="s">
        <v>492</v>
      </c>
      <c r="L208" s="512"/>
      <c r="M208" s="512"/>
      <c r="N208" s="513"/>
      <c r="O208" s="237">
        <v>0.12</v>
      </c>
      <c r="P208" s="237">
        <v>0.15</v>
      </c>
      <c r="Q208" s="333">
        <f>SUM(Q209:Q278)</f>
        <v>19212900000</v>
      </c>
      <c r="R208" s="237">
        <v>0.18</v>
      </c>
      <c r="S208" s="333">
        <f>SUM(S209:S278)</f>
        <v>21168170000</v>
      </c>
      <c r="T208" s="237">
        <v>0.21</v>
      </c>
      <c r="U208" s="333">
        <f>SUM(U209:U278)</f>
        <v>21569170000</v>
      </c>
      <c r="V208" s="237">
        <v>0.24</v>
      </c>
      <c r="W208" s="333">
        <f>SUM(W209:W278)</f>
        <v>21679170000</v>
      </c>
      <c r="X208" s="237">
        <v>0.27</v>
      </c>
      <c r="Y208" s="333">
        <f>SUM(Y209:Y278)</f>
        <v>21779170000</v>
      </c>
      <c r="Z208" s="237">
        <v>0.27</v>
      </c>
      <c r="AA208" s="351">
        <f>Y208+W208+U208+S208+Q208</f>
        <v>105408580000</v>
      </c>
      <c r="AB208" s="127" t="s">
        <v>66</v>
      </c>
      <c r="AC208" s="192"/>
      <c r="AD208" s="192"/>
      <c r="AE208" s="140"/>
      <c r="AF208" s="141"/>
      <c r="AG208" s="316" t="s">
        <v>134</v>
      </c>
    </row>
    <row r="209" spans="1:33" s="63" customFormat="1" ht="18" x14ac:dyDescent="0.35">
      <c r="A209" s="289"/>
      <c r="B209" s="316"/>
      <c r="C209" s="316"/>
      <c r="D209" s="289"/>
      <c r="E209" s="128"/>
      <c r="F209" s="128"/>
      <c r="G209" s="128"/>
      <c r="H209" s="128"/>
      <c r="I209" s="128"/>
      <c r="J209" s="127" t="s">
        <v>63</v>
      </c>
      <c r="K209" s="158"/>
      <c r="L209" s="159"/>
      <c r="M209" s="159"/>
      <c r="N209" s="315"/>
      <c r="O209" s="316"/>
      <c r="P209" s="316"/>
      <c r="Q209" s="334"/>
      <c r="R209" s="316"/>
      <c r="S209" s="334"/>
      <c r="T209" s="316"/>
      <c r="U209" s="178"/>
      <c r="V209" s="316"/>
      <c r="W209" s="178"/>
      <c r="X209" s="316"/>
      <c r="Y209" s="178"/>
      <c r="Z209" s="316"/>
      <c r="AA209" s="178"/>
      <c r="AB209" s="316"/>
      <c r="AC209" s="161"/>
      <c r="AD209" s="155"/>
      <c r="AE209" s="156"/>
      <c r="AF209" s="157"/>
      <c r="AG209" s="316"/>
    </row>
    <row r="210" spans="1:33" s="66" customFormat="1" ht="66" x14ac:dyDescent="0.35">
      <c r="A210" s="293"/>
      <c r="B210" s="316"/>
      <c r="C210" s="316"/>
      <c r="D210" s="293"/>
      <c r="E210" s="143">
        <v>1</v>
      </c>
      <c r="F210" s="228" t="s">
        <v>131</v>
      </c>
      <c r="G210" s="228" t="s">
        <v>131</v>
      </c>
      <c r="H210" s="143">
        <v>10</v>
      </c>
      <c r="I210" s="136">
        <v>1</v>
      </c>
      <c r="J210" s="316" t="s">
        <v>380</v>
      </c>
      <c r="K210" s="158" t="s">
        <v>290</v>
      </c>
      <c r="L210" s="159" t="s">
        <v>291</v>
      </c>
      <c r="M210" s="514" t="s">
        <v>312</v>
      </c>
      <c r="N210" s="515"/>
      <c r="O210" s="316" t="s">
        <v>301</v>
      </c>
      <c r="P210" s="316" t="s">
        <v>301</v>
      </c>
      <c r="Q210" s="334">
        <v>580000000</v>
      </c>
      <c r="R210" s="316" t="s">
        <v>301</v>
      </c>
      <c r="S210" s="334">
        <f>Q210+(Q210*10%)</f>
        <v>638000000</v>
      </c>
      <c r="T210" s="316" t="s">
        <v>301</v>
      </c>
      <c r="U210" s="334">
        <f>S210+(S210*1.5%)+83478000</f>
        <v>731048000</v>
      </c>
      <c r="V210" s="316" t="s">
        <v>301</v>
      </c>
      <c r="W210" s="334">
        <f>U210+(U210*1.5%)-213536720</f>
        <v>528477000</v>
      </c>
      <c r="X210" s="316" t="s">
        <v>301</v>
      </c>
      <c r="Y210" s="334">
        <f>W210+(W210*1.5%)-225186155</f>
        <v>311218000</v>
      </c>
      <c r="Z210" s="316" t="s">
        <v>301</v>
      </c>
      <c r="AA210" s="178">
        <f>Y210+W210+U210+S210+Q210</f>
        <v>2788743000</v>
      </c>
      <c r="AB210" s="316" t="s">
        <v>66</v>
      </c>
      <c r="AC210" s="161"/>
      <c r="AD210" s="155"/>
      <c r="AE210" s="156"/>
      <c r="AF210" s="157"/>
      <c r="AG210" s="316" t="s">
        <v>1053</v>
      </c>
    </row>
    <row r="211" spans="1:33" s="66" customFormat="1" ht="132" x14ac:dyDescent="0.35">
      <c r="A211" s="293"/>
      <c r="B211" s="316"/>
      <c r="C211" s="316"/>
      <c r="D211" s="293"/>
      <c r="E211" s="143"/>
      <c r="F211" s="228"/>
      <c r="G211" s="228"/>
      <c r="H211" s="143"/>
      <c r="I211" s="136"/>
      <c r="J211" s="316"/>
      <c r="K211" s="158" t="s">
        <v>293</v>
      </c>
      <c r="L211" s="159" t="s">
        <v>291</v>
      </c>
      <c r="M211" s="160" t="s">
        <v>299</v>
      </c>
      <c r="N211" s="225" t="s">
        <v>493</v>
      </c>
      <c r="O211" s="206" t="s">
        <v>494</v>
      </c>
      <c r="P211" s="206" t="s">
        <v>494</v>
      </c>
      <c r="Q211" s="334"/>
      <c r="R211" s="206" t="s">
        <v>494</v>
      </c>
      <c r="S211" s="334"/>
      <c r="T211" s="206" t="s">
        <v>494</v>
      </c>
      <c r="U211" s="178"/>
      <c r="V211" s="206" t="s">
        <v>494</v>
      </c>
      <c r="W211" s="178"/>
      <c r="X211" s="206" t="s">
        <v>494</v>
      </c>
      <c r="Y211" s="178"/>
      <c r="Z211" s="206" t="s">
        <v>494</v>
      </c>
      <c r="AA211" s="178"/>
      <c r="AB211" s="316"/>
      <c r="AC211" s="161"/>
      <c r="AD211" s="155"/>
      <c r="AE211" s="156"/>
      <c r="AF211" s="157"/>
      <c r="AG211" s="294"/>
    </row>
    <row r="212" spans="1:33" s="66" customFormat="1" ht="49.5" x14ac:dyDescent="0.35">
      <c r="A212" s="293"/>
      <c r="B212" s="316"/>
      <c r="C212" s="316"/>
      <c r="D212" s="293"/>
      <c r="E212" s="143"/>
      <c r="F212" s="228"/>
      <c r="G212" s="228"/>
      <c r="H212" s="143"/>
      <c r="I212" s="136"/>
      <c r="J212" s="316"/>
      <c r="K212" s="158"/>
      <c r="L212" s="159"/>
      <c r="M212" s="160" t="s">
        <v>303</v>
      </c>
      <c r="N212" s="205" t="s">
        <v>495</v>
      </c>
      <c r="O212" s="206" t="s">
        <v>496</v>
      </c>
      <c r="P212" s="206" t="s">
        <v>496</v>
      </c>
      <c r="Q212" s="334"/>
      <c r="R212" s="206" t="s">
        <v>496</v>
      </c>
      <c r="S212" s="334"/>
      <c r="T212" s="206" t="s">
        <v>496</v>
      </c>
      <c r="U212" s="178"/>
      <c r="V212" s="206" t="s">
        <v>496</v>
      </c>
      <c r="W212" s="178"/>
      <c r="X212" s="206" t="s">
        <v>496</v>
      </c>
      <c r="Y212" s="178"/>
      <c r="Z212" s="206" t="s">
        <v>496</v>
      </c>
      <c r="AA212" s="178"/>
      <c r="AB212" s="316"/>
      <c r="AC212" s="161"/>
      <c r="AD212" s="155"/>
      <c r="AE212" s="156"/>
      <c r="AF212" s="157"/>
      <c r="AG212" s="294"/>
    </row>
    <row r="213" spans="1:33" s="66" customFormat="1" ht="132" x14ac:dyDescent="0.35">
      <c r="A213" s="293"/>
      <c r="B213" s="316"/>
      <c r="C213" s="316"/>
      <c r="D213" s="293"/>
      <c r="E213" s="143"/>
      <c r="F213" s="228"/>
      <c r="G213" s="228"/>
      <c r="H213" s="143"/>
      <c r="I213" s="136"/>
      <c r="J213" s="316"/>
      <c r="K213" s="158" t="s">
        <v>294</v>
      </c>
      <c r="L213" s="159" t="s">
        <v>291</v>
      </c>
      <c r="M213" s="226" t="s">
        <v>299</v>
      </c>
      <c r="N213" s="315" t="s">
        <v>497</v>
      </c>
      <c r="O213" s="206" t="s">
        <v>494</v>
      </c>
      <c r="P213" s="206" t="s">
        <v>494</v>
      </c>
      <c r="Q213" s="334"/>
      <c r="R213" s="206" t="s">
        <v>494</v>
      </c>
      <c r="S213" s="334"/>
      <c r="T213" s="206" t="s">
        <v>494</v>
      </c>
      <c r="U213" s="178"/>
      <c r="V213" s="206" t="s">
        <v>494</v>
      </c>
      <c r="W213" s="178"/>
      <c r="X213" s="206" t="s">
        <v>494</v>
      </c>
      <c r="Y213" s="178"/>
      <c r="Z213" s="206" t="s">
        <v>494</v>
      </c>
      <c r="AA213" s="178"/>
      <c r="AB213" s="316"/>
      <c r="AC213" s="161"/>
      <c r="AD213" s="155"/>
      <c r="AE213" s="156"/>
      <c r="AF213" s="157"/>
      <c r="AG213" s="294"/>
    </row>
    <row r="214" spans="1:33" s="66" customFormat="1" ht="49.5" x14ac:dyDescent="0.35">
      <c r="A214" s="293"/>
      <c r="B214" s="316"/>
      <c r="C214" s="316"/>
      <c r="D214" s="293"/>
      <c r="E214" s="143"/>
      <c r="F214" s="228"/>
      <c r="G214" s="228"/>
      <c r="H214" s="143"/>
      <c r="I214" s="136"/>
      <c r="J214" s="316"/>
      <c r="K214" s="158"/>
      <c r="L214" s="159"/>
      <c r="M214" s="226" t="s">
        <v>303</v>
      </c>
      <c r="N214" s="315" t="s">
        <v>498</v>
      </c>
      <c r="O214" s="316" t="s">
        <v>499</v>
      </c>
      <c r="P214" s="316" t="s">
        <v>499</v>
      </c>
      <c r="Q214" s="334"/>
      <c r="R214" s="316" t="s">
        <v>499</v>
      </c>
      <c r="S214" s="334"/>
      <c r="T214" s="316" t="s">
        <v>499</v>
      </c>
      <c r="U214" s="178"/>
      <c r="V214" s="316" t="s">
        <v>499</v>
      </c>
      <c r="W214" s="178"/>
      <c r="X214" s="316" t="s">
        <v>499</v>
      </c>
      <c r="Y214" s="178"/>
      <c r="Z214" s="316" t="s">
        <v>499</v>
      </c>
      <c r="AA214" s="178"/>
      <c r="AB214" s="316"/>
      <c r="AC214" s="161"/>
      <c r="AD214" s="155"/>
      <c r="AE214" s="156"/>
      <c r="AF214" s="157"/>
      <c r="AG214" s="294"/>
    </row>
    <row r="215" spans="1:33" s="66" customFormat="1" ht="33.75" x14ac:dyDescent="0.35">
      <c r="A215" s="293"/>
      <c r="B215" s="316"/>
      <c r="C215" s="316"/>
      <c r="D215" s="293"/>
      <c r="E215" s="143"/>
      <c r="F215" s="228"/>
      <c r="G215" s="228"/>
      <c r="H215" s="143"/>
      <c r="I215" s="136"/>
      <c r="J215" s="316"/>
      <c r="K215" s="137" t="s">
        <v>295</v>
      </c>
      <c r="L215" s="314" t="s">
        <v>291</v>
      </c>
      <c r="M215" s="507" t="s">
        <v>500</v>
      </c>
      <c r="N215" s="508"/>
      <c r="O215" s="316"/>
      <c r="P215" s="316"/>
      <c r="Q215" s="334"/>
      <c r="R215" s="316"/>
      <c r="S215" s="334"/>
      <c r="T215" s="316"/>
      <c r="U215" s="178"/>
      <c r="V215" s="316"/>
      <c r="W215" s="178"/>
      <c r="X215" s="316"/>
      <c r="Y215" s="178"/>
      <c r="Z215" s="316"/>
      <c r="AA215" s="178"/>
      <c r="AB215" s="316"/>
      <c r="AC215" s="161"/>
      <c r="AD215" s="155"/>
      <c r="AE215" s="156"/>
      <c r="AF215" s="157"/>
      <c r="AG215" s="294"/>
    </row>
    <row r="216" spans="1:33" s="66" customFormat="1" ht="33" x14ac:dyDescent="0.35">
      <c r="A216" s="293"/>
      <c r="B216" s="179"/>
      <c r="C216" s="179"/>
      <c r="D216" s="295"/>
      <c r="E216" s="180"/>
      <c r="F216" s="238"/>
      <c r="G216" s="238"/>
      <c r="H216" s="180"/>
      <c r="I216" s="181"/>
      <c r="J216" s="179"/>
      <c r="K216" s="183" t="s">
        <v>297</v>
      </c>
      <c r="L216" s="182" t="s">
        <v>291</v>
      </c>
      <c r="M216" s="529" t="s">
        <v>501</v>
      </c>
      <c r="N216" s="530"/>
      <c r="O216" s="179"/>
      <c r="P216" s="179"/>
      <c r="Q216" s="337"/>
      <c r="R216" s="179"/>
      <c r="S216" s="337"/>
      <c r="T216" s="179"/>
      <c r="U216" s="350"/>
      <c r="V216" s="179"/>
      <c r="W216" s="350"/>
      <c r="X216" s="179"/>
      <c r="Y216" s="350"/>
      <c r="Z216" s="179"/>
      <c r="AA216" s="350"/>
      <c r="AB216" s="179"/>
      <c r="AC216" s="186"/>
      <c r="AD216" s="187"/>
      <c r="AE216" s="188"/>
      <c r="AF216" s="189"/>
      <c r="AG216" s="296"/>
    </row>
    <row r="217" spans="1:33" s="32" customFormat="1" ht="18" x14ac:dyDescent="0.35">
      <c r="A217" s="270"/>
      <c r="B217" s="316"/>
      <c r="C217" s="316"/>
      <c r="D217" s="270"/>
      <c r="E217" s="143"/>
      <c r="F217" s="143"/>
      <c r="G217" s="143"/>
      <c r="H217" s="143"/>
      <c r="I217" s="143"/>
      <c r="J217" s="316"/>
      <c r="K217" s="158"/>
      <c r="L217" s="159"/>
      <c r="M217" s="159"/>
      <c r="N217" s="315"/>
      <c r="O217" s="316"/>
      <c r="P217" s="316"/>
      <c r="Q217" s="334"/>
      <c r="R217" s="316"/>
      <c r="S217" s="334"/>
      <c r="T217" s="316"/>
      <c r="U217" s="178"/>
      <c r="V217" s="316"/>
      <c r="W217" s="178"/>
      <c r="X217" s="316"/>
      <c r="Y217" s="178"/>
      <c r="Z217" s="316"/>
      <c r="AA217" s="178"/>
      <c r="AB217" s="316"/>
      <c r="AC217" s="161"/>
      <c r="AD217" s="155"/>
      <c r="AE217" s="156"/>
      <c r="AF217" s="157"/>
      <c r="AG217" s="272"/>
    </row>
    <row r="218" spans="1:33" s="32" customFormat="1" ht="33" x14ac:dyDescent="0.35">
      <c r="A218" s="270"/>
      <c r="B218" s="316"/>
      <c r="C218" s="316"/>
      <c r="D218" s="270"/>
      <c r="E218" s="143">
        <v>1</v>
      </c>
      <c r="F218" s="228" t="s">
        <v>131</v>
      </c>
      <c r="G218" s="228" t="s">
        <v>131</v>
      </c>
      <c r="H218" s="143">
        <v>10</v>
      </c>
      <c r="I218" s="136">
        <v>2</v>
      </c>
      <c r="J218" s="316" t="s">
        <v>381</v>
      </c>
      <c r="K218" s="158" t="s">
        <v>290</v>
      </c>
      <c r="L218" s="159" t="s">
        <v>291</v>
      </c>
      <c r="M218" s="514" t="s">
        <v>312</v>
      </c>
      <c r="N218" s="515"/>
      <c r="O218" s="316" t="s">
        <v>301</v>
      </c>
      <c r="P218" s="316" t="s">
        <v>301</v>
      </c>
      <c r="Q218" s="334">
        <v>2002000000</v>
      </c>
      <c r="R218" s="316" t="s">
        <v>301</v>
      </c>
      <c r="S218" s="334">
        <f>Q218+(Q218*10%)</f>
        <v>2202200000</v>
      </c>
      <c r="T218" s="316" t="s">
        <v>301</v>
      </c>
      <c r="U218" s="334">
        <f>S218+(S218*1.5%)</f>
        <v>2235233000</v>
      </c>
      <c r="V218" s="316" t="s">
        <v>301</v>
      </c>
      <c r="W218" s="334">
        <f>U218+(U218*1.5%)-495</f>
        <v>2268761000</v>
      </c>
      <c r="X218" s="316" t="s">
        <v>301</v>
      </c>
      <c r="Y218" s="334">
        <f>W218+(W218*1.5%)-415</f>
        <v>2302792000</v>
      </c>
      <c r="Z218" s="316" t="s">
        <v>301</v>
      </c>
      <c r="AA218" s="178">
        <f>Y218+W218+U218+S218+Q218</f>
        <v>11010986000</v>
      </c>
      <c r="AB218" s="316" t="s">
        <v>66</v>
      </c>
      <c r="AC218" s="239"/>
      <c r="AD218" s="163"/>
      <c r="AE218" s="164"/>
      <c r="AF218" s="165"/>
      <c r="AG218" s="316" t="s">
        <v>520</v>
      </c>
    </row>
    <row r="219" spans="1:33" s="32" customFormat="1" ht="409.5" x14ac:dyDescent="0.35">
      <c r="A219" s="270"/>
      <c r="B219" s="316"/>
      <c r="C219" s="316"/>
      <c r="D219" s="270"/>
      <c r="E219" s="143"/>
      <c r="F219" s="228"/>
      <c r="G219" s="228"/>
      <c r="H219" s="143"/>
      <c r="I219" s="136"/>
      <c r="J219" s="316"/>
      <c r="K219" s="158" t="s">
        <v>293</v>
      </c>
      <c r="L219" s="159" t="s">
        <v>291</v>
      </c>
      <c r="M219" s="160" t="s">
        <v>299</v>
      </c>
      <c r="N219" s="205" t="s">
        <v>502</v>
      </c>
      <c r="O219" s="206" t="s">
        <v>503</v>
      </c>
      <c r="P219" s="206" t="s">
        <v>503</v>
      </c>
      <c r="Q219" s="334"/>
      <c r="R219" s="206" t="s">
        <v>503</v>
      </c>
      <c r="S219" s="334"/>
      <c r="T219" s="206" t="s">
        <v>503</v>
      </c>
      <c r="U219" s="178"/>
      <c r="V219" s="206" t="s">
        <v>503</v>
      </c>
      <c r="W219" s="178"/>
      <c r="X219" s="206" t="s">
        <v>503</v>
      </c>
      <c r="Y219" s="178"/>
      <c r="Z219" s="206" t="s">
        <v>503</v>
      </c>
      <c r="AA219" s="178"/>
      <c r="AB219" s="316"/>
      <c r="AC219" s="239"/>
      <c r="AD219" s="163"/>
      <c r="AE219" s="164"/>
      <c r="AF219" s="165"/>
      <c r="AG219" s="272"/>
    </row>
    <row r="220" spans="1:33" s="32" customFormat="1" ht="132" x14ac:dyDescent="0.35">
      <c r="A220" s="270"/>
      <c r="B220" s="316"/>
      <c r="C220" s="316"/>
      <c r="D220" s="270"/>
      <c r="E220" s="143"/>
      <c r="F220" s="228"/>
      <c r="G220" s="228"/>
      <c r="H220" s="143"/>
      <c r="I220" s="136"/>
      <c r="J220" s="316"/>
      <c r="K220" s="158"/>
      <c r="L220" s="159"/>
      <c r="M220" s="160" t="s">
        <v>303</v>
      </c>
      <c r="N220" s="205" t="s">
        <v>504</v>
      </c>
      <c r="O220" s="206" t="s">
        <v>505</v>
      </c>
      <c r="P220" s="206" t="s">
        <v>505</v>
      </c>
      <c r="Q220" s="334"/>
      <c r="R220" s="206" t="s">
        <v>505</v>
      </c>
      <c r="S220" s="334"/>
      <c r="T220" s="206" t="s">
        <v>505</v>
      </c>
      <c r="U220" s="178"/>
      <c r="V220" s="206" t="s">
        <v>505</v>
      </c>
      <c r="W220" s="178"/>
      <c r="X220" s="206" t="s">
        <v>505</v>
      </c>
      <c r="Y220" s="178"/>
      <c r="Z220" s="206" t="s">
        <v>505</v>
      </c>
      <c r="AA220" s="178"/>
      <c r="AB220" s="316"/>
      <c r="AC220" s="239"/>
      <c r="AD220" s="163"/>
      <c r="AE220" s="164"/>
      <c r="AF220" s="165"/>
      <c r="AG220" s="272"/>
    </row>
    <row r="221" spans="1:33" s="32" customFormat="1" ht="409.5" x14ac:dyDescent="0.35">
      <c r="A221" s="270"/>
      <c r="B221" s="316"/>
      <c r="C221" s="316"/>
      <c r="D221" s="270"/>
      <c r="E221" s="143"/>
      <c r="F221" s="228"/>
      <c r="G221" s="228"/>
      <c r="H221" s="143"/>
      <c r="I221" s="136"/>
      <c r="J221" s="316"/>
      <c r="K221" s="158"/>
      <c r="L221" s="159"/>
      <c r="M221" s="160" t="s">
        <v>318</v>
      </c>
      <c r="N221" s="205" t="s">
        <v>506</v>
      </c>
      <c r="O221" s="206" t="s">
        <v>507</v>
      </c>
      <c r="P221" s="206" t="s">
        <v>507</v>
      </c>
      <c r="Q221" s="334"/>
      <c r="R221" s="206" t="s">
        <v>507</v>
      </c>
      <c r="S221" s="334"/>
      <c r="T221" s="206" t="s">
        <v>507</v>
      </c>
      <c r="U221" s="178"/>
      <c r="V221" s="206" t="s">
        <v>507</v>
      </c>
      <c r="W221" s="178"/>
      <c r="X221" s="206" t="s">
        <v>507</v>
      </c>
      <c r="Y221" s="178"/>
      <c r="Z221" s="206" t="s">
        <v>507</v>
      </c>
      <c r="AA221" s="178"/>
      <c r="AB221" s="316"/>
      <c r="AC221" s="239"/>
      <c r="AD221" s="163"/>
      <c r="AE221" s="164"/>
      <c r="AF221" s="165"/>
      <c r="AG221" s="272"/>
    </row>
    <row r="222" spans="1:33" s="32" customFormat="1" ht="409.5" x14ac:dyDescent="0.35">
      <c r="A222" s="270"/>
      <c r="B222" s="316"/>
      <c r="C222" s="316"/>
      <c r="D222" s="270"/>
      <c r="E222" s="143"/>
      <c r="F222" s="228"/>
      <c r="G222" s="228"/>
      <c r="H222" s="143"/>
      <c r="I222" s="136"/>
      <c r="J222" s="316"/>
      <c r="K222" s="158"/>
      <c r="L222" s="159"/>
      <c r="M222" s="160" t="s">
        <v>331</v>
      </c>
      <c r="N222" s="205" t="s">
        <v>508</v>
      </c>
      <c r="O222" s="206" t="s">
        <v>507</v>
      </c>
      <c r="P222" s="206" t="s">
        <v>507</v>
      </c>
      <c r="Q222" s="334"/>
      <c r="R222" s="206" t="s">
        <v>507</v>
      </c>
      <c r="S222" s="334"/>
      <c r="T222" s="206" t="s">
        <v>507</v>
      </c>
      <c r="U222" s="178"/>
      <c r="V222" s="206" t="s">
        <v>507</v>
      </c>
      <c r="W222" s="178"/>
      <c r="X222" s="206" t="s">
        <v>507</v>
      </c>
      <c r="Y222" s="178"/>
      <c r="Z222" s="206" t="s">
        <v>507</v>
      </c>
      <c r="AA222" s="178"/>
      <c r="AB222" s="316"/>
      <c r="AC222" s="239"/>
      <c r="AD222" s="163"/>
      <c r="AE222" s="164"/>
      <c r="AF222" s="165"/>
      <c r="AG222" s="272"/>
    </row>
    <row r="223" spans="1:33" s="32" customFormat="1" ht="33" x14ac:dyDescent="0.35">
      <c r="A223" s="270"/>
      <c r="B223" s="316"/>
      <c r="C223" s="316"/>
      <c r="D223" s="270"/>
      <c r="E223" s="143"/>
      <c r="F223" s="228"/>
      <c r="G223" s="228"/>
      <c r="H223" s="143"/>
      <c r="I223" s="136"/>
      <c r="J223" s="316"/>
      <c r="K223" s="158"/>
      <c r="L223" s="159"/>
      <c r="M223" s="160" t="s">
        <v>353</v>
      </c>
      <c r="N223" s="205" t="s">
        <v>509</v>
      </c>
      <c r="O223" s="206" t="s">
        <v>510</v>
      </c>
      <c r="P223" s="206" t="s">
        <v>510</v>
      </c>
      <c r="Q223" s="334"/>
      <c r="R223" s="206" t="s">
        <v>510</v>
      </c>
      <c r="S223" s="334"/>
      <c r="T223" s="206" t="s">
        <v>510</v>
      </c>
      <c r="U223" s="178"/>
      <c r="V223" s="206" t="s">
        <v>510</v>
      </c>
      <c r="W223" s="178"/>
      <c r="X223" s="206" t="s">
        <v>510</v>
      </c>
      <c r="Y223" s="178"/>
      <c r="Z223" s="206" t="s">
        <v>510</v>
      </c>
      <c r="AA223" s="178"/>
      <c r="AB223" s="316"/>
      <c r="AC223" s="239"/>
      <c r="AD223" s="163"/>
      <c r="AE223" s="164"/>
      <c r="AF223" s="165"/>
      <c r="AG223" s="272"/>
    </row>
    <row r="224" spans="1:33" s="32" customFormat="1" ht="214.5" x14ac:dyDescent="0.35">
      <c r="A224" s="270"/>
      <c r="B224" s="316"/>
      <c r="C224" s="316"/>
      <c r="D224" s="270"/>
      <c r="E224" s="143"/>
      <c r="F224" s="228"/>
      <c r="G224" s="228"/>
      <c r="H224" s="143"/>
      <c r="I224" s="136"/>
      <c r="J224" s="316"/>
      <c r="K224" s="158"/>
      <c r="L224" s="159"/>
      <c r="M224" s="160" t="s">
        <v>352</v>
      </c>
      <c r="N224" s="205" t="s">
        <v>511</v>
      </c>
      <c r="O224" s="206" t="s">
        <v>512</v>
      </c>
      <c r="P224" s="206" t="s">
        <v>512</v>
      </c>
      <c r="Q224" s="334"/>
      <c r="R224" s="206" t="s">
        <v>512</v>
      </c>
      <c r="S224" s="334"/>
      <c r="T224" s="206" t="s">
        <v>512</v>
      </c>
      <c r="U224" s="178"/>
      <c r="V224" s="206" t="s">
        <v>512</v>
      </c>
      <c r="W224" s="178"/>
      <c r="X224" s="206" t="s">
        <v>512</v>
      </c>
      <c r="Y224" s="178"/>
      <c r="Z224" s="206" t="s">
        <v>512</v>
      </c>
      <c r="AA224" s="178"/>
      <c r="AB224" s="316"/>
      <c r="AC224" s="239"/>
      <c r="AD224" s="163"/>
      <c r="AE224" s="164"/>
      <c r="AF224" s="165"/>
      <c r="AG224" s="272"/>
    </row>
    <row r="225" spans="1:33" s="32" customFormat="1" ht="346.5" x14ac:dyDescent="0.35">
      <c r="A225" s="270"/>
      <c r="B225" s="316"/>
      <c r="C225" s="316"/>
      <c r="D225" s="270"/>
      <c r="E225" s="143"/>
      <c r="F225" s="228"/>
      <c r="G225" s="228"/>
      <c r="H225" s="143"/>
      <c r="I225" s="136"/>
      <c r="J225" s="316"/>
      <c r="K225" s="137"/>
      <c r="L225" s="314"/>
      <c r="M225" s="226" t="s">
        <v>402</v>
      </c>
      <c r="N225" s="205" t="s">
        <v>513</v>
      </c>
      <c r="O225" s="206" t="s">
        <v>514</v>
      </c>
      <c r="P225" s="206" t="s">
        <v>514</v>
      </c>
      <c r="Q225" s="334"/>
      <c r="R225" s="206" t="s">
        <v>514</v>
      </c>
      <c r="S225" s="334"/>
      <c r="T225" s="206" t="s">
        <v>514</v>
      </c>
      <c r="U225" s="178"/>
      <c r="V225" s="206" t="s">
        <v>514</v>
      </c>
      <c r="W225" s="178"/>
      <c r="X225" s="206" t="s">
        <v>514</v>
      </c>
      <c r="Y225" s="178"/>
      <c r="Z225" s="206" t="s">
        <v>514</v>
      </c>
      <c r="AA225" s="178"/>
      <c r="AB225" s="316"/>
      <c r="AC225" s="239"/>
      <c r="AD225" s="163"/>
      <c r="AE225" s="164"/>
      <c r="AF225" s="165"/>
      <c r="AG225" s="272"/>
    </row>
    <row r="226" spans="1:33" s="32" customFormat="1" ht="264" x14ac:dyDescent="0.35">
      <c r="A226" s="270"/>
      <c r="B226" s="316"/>
      <c r="C226" s="316"/>
      <c r="D226" s="270"/>
      <c r="E226" s="143"/>
      <c r="F226" s="228"/>
      <c r="G226" s="228"/>
      <c r="H226" s="143"/>
      <c r="I226" s="136"/>
      <c r="J226" s="316"/>
      <c r="K226" s="137"/>
      <c r="L226" s="314"/>
      <c r="M226" s="226" t="s">
        <v>453</v>
      </c>
      <c r="N226" s="205" t="s">
        <v>515</v>
      </c>
      <c r="O226" s="206" t="s">
        <v>516</v>
      </c>
      <c r="P226" s="206" t="s">
        <v>516</v>
      </c>
      <c r="Q226" s="334"/>
      <c r="R226" s="206" t="s">
        <v>516</v>
      </c>
      <c r="S226" s="334"/>
      <c r="T226" s="206" t="s">
        <v>516</v>
      </c>
      <c r="U226" s="178"/>
      <c r="V226" s="206" t="s">
        <v>516</v>
      </c>
      <c r="W226" s="178"/>
      <c r="X226" s="206" t="s">
        <v>516</v>
      </c>
      <c r="Y226" s="178"/>
      <c r="Z226" s="206" t="s">
        <v>516</v>
      </c>
      <c r="AA226" s="178"/>
      <c r="AB226" s="316"/>
      <c r="AC226" s="239"/>
      <c r="AD226" s="163"/>
      <c r="AE226" s="164"/>
      <c r="AF226" s="165"/>
      <c r="AG226" s="272"/>
    </row>
    <row r="227" spans="1:33" s="32" customFormat="1" ht="66" x14ac:dyDescent="0.35">
      <c r="A227" s="270"/>
      <c r="B227" s="316"/>
      <c r="C227" s="316"/>
      <c r="D227" s="270"/>
      <c r="E227" s="143"/>
      <c r="F227" s="228"/>
      <c r="G227" s="228"/>
      <c r="H227" s="143"/>
      <c r="I227" s="136"/>
      <c r="J227" s="316"/>
      <c r="K227" s="137"/>
      <c r="L227" s="314"/>
      <c r="M227" s="226" t="s">
        <v>454</v>
      </c>
      <c r="N227" s="205" t="s">
        <v>517</v>
      </c>
      <c r="O227" s="206" t="s">
        <v>518</v>
      </c>
      <c r="P227" s="206" t="s">
        <v>518</v>
      </c>
      <c r="Q227" s="334"/>
      <c r="R227" s="206" t="s">
        <v>518</v>
      </c>
      <c r="S227" s="334"/>
      <c r="T227" s="206" t="s">
        <v>518</v>
      </c>
      <c r="U227" s="178"/>
      <c r="V227" s="206" t="s">
        <v>518</v>
      </c>
      <c r="W227" s="178"/>
      <c r="X227" s="206" t="s">
        <v>518</v>
      </c>
      <c r="Y227" s="178"/>
      <c r="Z227" s="206" t="s">
        <v>518</v>
      </c>
      <c r="AA227" s="178"/>
      <c r="AB227" s="316"/>
      <c r="AC227" s="239"/>
      <c r="AD227" s="163"/>
      <c r="AE227" s="164"/>
      <c r="AF227" s="165"/>
      <c r="AG227" s="272"/>
    </row>
    <row r="228" spans="1:33" s="32" customFormat="1" ht="49.5" x14ac:dyDescent="0.35">
      <c r="A228" s="270"/>
      <c r="B228" s="316"/>
      <c r="C228" s="316"/>
      <c r="D228" s="270"/>
      <c r="E228" s="143"/>
      <c r="F228" s="228"/>
      <c r="G228" s="228"/>
      <c r="H228" s="143"/>
      <c r="I228" s="136"/>
      <c r="J228" s="316"/>
      <c r="K228" s="137"/>
      <c r="L228" s="314"/>
      <c r="M228" s="226" t="s">
        <v>521</v>
      </c>
      <c r="N228" s="205" t="s">
        <v>519</v>
      </c>
      <c r="O228" s="206" t="s">
        <v>520</v>
      </c>
      <c r="P228" s="206" t="s">
        <v>520</v>
      </c>
      <c r="Q228" s="334"/>
      <c r="R228" s="206" t="s">
        <v>520</v>
      </c>
      <c r="S228" s="334"/>
      <c r="T228" s="206" t="s">
        <v>520</v>
      </c>
      <c r="U228" s="178"/>
      <c r="V228" s="206" t="s">
        <v>520</v>
      </c>
      <c r="W228" s="178"/>
      <c r="X228" s="206" t="s">
        <v>520</v>
      </c>
      <c r="Y228" s="178"/>
      <c r="Z228" s="206" t="s">
        <v>520</v>
      </c>
      <c r="AA228" s="178"/>
      <c r="AB228" s="316"/>
      <c r="AC228" s="239"/>
      <c r="AD228" s="163"/>
      <c r="AE228" s="164"/>
      <c r="AF228" s="165"/>
      <c r="AG228" s="272"/>
    </row>
    <row r="229" spans="1:33" s="32" customFormat="1" ht="346.5" x14ac:dyDescent="0.35">
      <c r="A229" s="270"/>
      <c r="B229" s="316"/>
      <c r="C229" s="316"/>
      <c r="D229" s="270"/>
      <c r="E229" s="143"/>
      <c r="F229" s="228"/>
      <c r="G229" s="228"/>
      <c r="H229" s="143"/>
      <c r="I229" s="136"/>
      <c r="J229" s="316"/>
      <c r="K229" s="137"/>
      <c r="L229" s="314"/>
      <c r="M229" s="226" t="s">
        <v>522</v>
      </c>
      <c r="N229" s="205" t="s">
        <v>525</v>
      </c>
      <c r="O229" s="206" t="s">
        <v>514</v>
      </c>
      <c r="P229" s="206" t="s">
        <v>514</v>
      </c>
      <c r="Q229" s="334"/>
      <c r="R229" s="206" t="s">
        <v>514</v>
      </c>
      <c r="S229" s="334"/>
      <c r="T229" s="206" t="s">
        <v>514</v>
      </c>
      <c r="U229" s="178"/>
      <c r="V229" s="206" t="s">
        <v>514</v>
      </c>
      <c r="W229" s="178"/>
      <c r="X229" s="206" t="s">
        <v>514</v>
      </c>
      <c r="Y229" s="178"/>
      <c r="Z229" s="206" t="s">
        <v>514</v>
      </c>
      <c r="AA229" s="178"/>
      <c r="AB229" s="316"/>
      <c r="AC229" s="239"/>
      <c r="AD229" s="163"/>
      <c r="AE229" s="164"/>
      <c r="AF229" s="165"/>
      <c r="AG229" s="272"/>
    </row>
    <row r="230" spans="1:33" s="32" customFormat="1" ht="409.5" x14ac:dyDescent="0.35">
      <c r="A230" s="270"/>
      <c r="B230" s="316"/>
      <c r="C230" s="316"/>
      <c r="D230" s="270"/>
      <c r="E230" s="143"/>
      <c r="F230" s="228"/>
      <c r="G230" s="228"/>
      <c r="H230" s="143"/>
      <c r="I230" s="136"/>
      <c r="J230" s="316"/>
      <c r="K230" s="158" t="s">
        <v>294</v>
      </c>
      <c r="L230" s="159" t="s">
        <v>291</v>
      </c>
      <c r="M230" s="226" t="s">
        <v>299</v>
      </c>
      <c r="N230" s="315" t="s">
        <v>526</v>
      </c>
      <c r="O230" s="206" t="s">
        <v>503</v>
      </c>
      <c r="P230" s="206" t="s">
        <v>503</v>
      </c>
      <c r="Q230" s="334"/>
      <c r="R230" s="206" t="s">
        <v>503</v>
      </c>
      <c r="S230" s="334"/>
      <c r="T230" s="206" t="s">
        <v>503</v>
      </c>
      <c r="U230" s="178"/>
      <c r="V230" s="206" t="s">
        <v>503</v>
      </c>
      <c r="W230" s="178"/>
      <c r="X230" s="206" t="s">
        <v>503</v>
      </c>
      <c r="Y230" s="178"/>
      <c r="Z230" s="206" t="s">
        <v>503</v>
      </c>
      <c r="AA230" s="178"/>
      <c r="AB230" s="316"/>
      <c r="AC230" s="239"/>
      <c r="AD230" s="163"/>
      <c r="AE230" s="164"/>
      <c r="AF230" s="165"/>
      <c r="AG230" s="272"/>
    </row>
    <row r="231" spans="1:33" s="32" customFormat="1" ht="132" x14ac:dyDescent="0.35">
      <c r="A231" s="270"/>
      <c r="B231" s="316"/>
      <c r="C231" s="316"/>
      <c r="D231" s="270"/>
      <c r="E231" s="143"/>
      <c r="F231" s="228"/>
      <c r="G231" s="228"/>
      <c r="H231" s="143"/>
      <c r="I231" s="136"/>
      <c r="J231" s="316"/>
      <c r="K231" s="158"/>
      <c r="L231" s="159"/>
      <c r="M231" s="226" t="s">
        <v>303</v>
      </c>
      <c r="N231" s="315" t="s">
        <v>527</v>
      </c>
      <c r="O231" s="206" t="s">
        <v>505</v>
      </c>
      <c r="P231" s="206" t="s">
        <v>505</v>
      </c>
      <c r="Q231" s="334"/>
      <c r="R231" s="206" t="s">
        <v>505</v>
      </c>
      <c r="S231" s="334"/>
      <c r="T231" s="206" t="s">
        <v>505</v>
      </c>
      <c r="U231" s="178"/>
      <c r="V231" s="206" t="s">
        <v>505</v>
      </c>
      <c r="W231" s="178"/>
      <c r="X231" s="206" t="s">
        <v>505</v>
      </c>
      <c r="Y231" s="178"/>
      <c r="Z231" s="206" t="s">
        <v>505</v>
      </c>
      <c r="AA231" s="178"/>
      <c r="AB231" s="316"/>
      <c r="AC231" s="239"/>
      <c r="AD231" s="163"/>
      <c r="AE231" s="164"/>
      <c r="AF231" s="165"/>
      <c r="AG231" s="272"/>
    </row>
    <row r="232" spans="1:33" s="32" customFormat="1" ht="409.5" x14ac:dyDescent="0.35">
      <c r="A232" s="270"/>
      <c r="B232" s="316"/>
      <c r="C232" s="316"/>
      <c r="D232" s="270"/>
      <c r="E232" s="143"/>
      <c r="F232" s="228"/>
      <c r="G232" s="228"/>
      <c r="H232" s="143"/>
      <c r="I232" s="136"/>
      <c r="J232" s="316"/>
      <c r="K232" s="158"/>
      <c r="L232" s="159"/>
      <c r="M232" s="226" t="s">
        <v>318</v>
      </c>
      <c r="N232" s="315" t="s">
        <v>528</v>
      </c>
      <c r="O232" s="206" t="s">
        <v>507</v>
      </c>
      <c r="P232" s="206" t="s">
        <v>507</v>
      </c>
      <c r="Q232" s="334"/>
      <c r="R232" s="206" t="s">
        <v>507</v>
      </c>
      <c r="S232" s="334"/>
      <c r="T232" s="206" t="s">
        <v>507</v>
      </c>
      <c r="U232" s="178"/>
      <c r="V232" s="206" t="s">
        <v>507</v>
      </c>
      <c r="W232" s="178"/>
      <c r="X232" s="206" t="s">
        <v>507</v>
      </c>
      <c r="Y232" s="178"/>
      <c r="Z232" s="206" t="s">
        <v>507</v>
      </c>
      <c r="AA232" s="178"/>
      <c r="AB232" s="316"/>
      <c r="AC232" s="239"/>
      <c r="AD232" s="163"/>
      <c r="AE232" s="164"/>
      <c r="AF232" s="165"/>
      <c r="AG232" s="272"/>
    </row>
    <row r="233" spans="1:33" s="32" customFormat="1" ht="409.5" x14ac:dyDescent="0.35">
      <c r="A233" s="270"/>
      <c r="B233" s="316"/>
      <c r="C233" s="316"/>
      <c r="D233" s="270"/>
      <c r="E233" s="143"/>
      <c r="F233" s="228"/>
      <c r="G233" s="228"/>
      <c r="H233" s="143"/>
      <c r="I233" s="136"/>
      <c r="J233" s="316"/>
      <c r="K233" s="158"/>
      <c r="L233" s="159"/>
      <c r="M233" s="226" t="s">
        <v>331</v>
      </c>
      <c r="N233" s="315" t="s">
        <v>529</v>
      </c>
      <c r="O233" s="206" t="s">
        <v>507</v>
      </c>
      <c r="P233" s="206" t="s">
        <v>507</v>
      </c>
      <c r="Q233" s="334"/>
      <c r="R233" s="206" t="s">
        <v>507</v>
      </c>
      <c r="S233" s="334"/>
      <c r="T233" s="206" t="s">
        <v>507</v>
      </c>
      <c r="U233" s="178"/>
      <c r="V233" s="206" t="s">
        <v>507</v>
      </c>
      <c r="W233" s="178"/>
      <c r="X233" s="206" t="s">
        <v>507</v>
      </c>
      <c r="Y233" s="178"/>
      <c r="Z233" s="206" t="s">
        <v>507</v>
      </c>
      <c r="AA233" s="178"/>
      <c r="AB233" s="316"/>
      <c r="AC233" s="239"/>
      <c r="AD233" s="163"/>
      <c r="AE233" s="164"/>
      <c r="AF233" s="165"/>
      <c r="AG233" s="272"/>
    </row>
    <row r="234" spans="1:33" s="32" customFormat="1" ht="33" x14ac:dyDescent="0.35">
      <c r="A234" s="270"/>
      <c r="B234" s="316"/>
      <c r="C234" s="316"/>
      <c r="D234" s="270"/>
      <c r="E234" s="143"/>
      <c r="F234" s="228"/>
      <c r="G234" s="228"/>
      <c r="H234" s="143"/>
      <c r="I234" s="136"/>
      <c r="J234" s="316"/>
      <c r="K234" s="158"/>
      <c r="L234" s="159"/>
      <c r="M234" s="226" t="s">
        <v>353</v>
      </c>
      <c r="N234" s="315" t="s">
        <v>530</v>
      </c>
      <c r="O234" s="206" t="s">
        <v>510</v>
      </c>
      <c r="P234" s="206" t="s">
        <v>510</v>
      </c>
      <c r="Q234" s="334"/>
      <c r="R234" s="206" t="s">
        <v>510</v>
      </c>
      <c r="S234" s="334"/>
      <c r="T234" s="206" t="s">
        <v>510</v>
      </c>
      <c r="U234" s="178"/>
      <c r="V234" s="206" t="s">
        <v>510</v>
      </c>
      <c r="W234" s="178"/>
      <c r="X234" s="206" t="s">
        <v>510</v>
      </c>
      <c r="Y234" s="178"/>
      <c r="Z234" s="206" t="s">
        <v>510</v>
      </c>
      <c r="AA234" s="178"/>
      <c r="AB234" s="316"/>
      <c r="AC234" s="239"/>
      <c r="AD234" s="163"/>
      <c r="AE234" s="164"/>
      <c r="AF234" s="165"/>
      <c r="AG234" s="272"/>
    </row>
    <row r="235" spans="1:33" s="32" customFormat="1" ht="49.5" x14ac:dyDescent="0.35">
      <c r="A235" s="270"/>
      <c r="B235" s="316"/>
      <c r="C235" s="316"/>
      <c r="D235" s="270"/>
      <c r="E235" s="143"/>
      <c r="F235" s="228"/>
      <c r="G235" s="228"/>
      <c r="H235" s="143"/>
      <c r="I235" s="136"/>
      <c r="J235" s="316"/>
      <c r="K235" s="158"/>
      <c r="L235" s="159"/>
      <c r="M235" s="226" t="s">
        <v>352</v>
      </c>
      <c r="N235" s="315" t="s">
        <v>531</v>
      </c>
      <c r="O235" s="316" t="s">
        <v>520</v>
      </c>
      <c r="P235" s="316" t="s">
        <v>520</v>
      </c>
      <c r="Q235" s="334"/>
      <c r="R235" s="316" t="s">
        <v>520</v>
      </c>
      <c r="S235" s="334"/>
      <c r="T235" s="316" t="s">
        <v>520</v>
      </c>
      <c r="U235" s="178"/>
      <c r="V235" s="316" t="s">
        <v>520</v>
      </c>
      <c r="W235" s="178"/>
      <c r="X235" s="316" t="s">
        <v>520</v>
      </c>
      <c r="Y235" s="178"/>
      <c r="Z235" s="316" t="s">
        <v>520</v>
      </c>
      <c r="AA235" s="178"/>
      <c r="AB235" s="316"/>
      <c r="AC235" s="239"/>
      <c r="AD235" s="163"/>
      <c r="AE235" s="164"/>
      <c r="AF235" s="165"/>
      <c r="AG235" s="272"/>
    </row>
    <row r="236" spans="1:33" s="32" customFormat="1" ht="346.5" x14ac:dyDescent="0.35">
      <c r="A236" s="270"/>
      <c r="B236" s="316"/>
      <c r="C236" s="316"/>
      <c r="D236" s="270"/>
      <c r="E236" s="143"/>
      <c r="F236" s="228"/>
      <c r="G236" s="228"/>
      <c r="H236" s="143"/>
      <c r="I236" s="136"/>
      <c r="J236" s="316"/>
      <c r="K236" s="158"/>
      <c r="L236" s="159"/>
      <c r="M236" s="226" t="s">
        <v>402</v>
      </c>
      <c r="N236" s="315" t="s">
        <v>532</v>
      </c>
      <c r="O236" s="206" t="s">
        <v>514</v>
      </c>
      <c r="P236" s="206" t="s">
        <v>514</v>
      </c>
      <c r="Q236" s="334"/>
      <c r="R236" s="206" t="s">
        <v>514</v>
      </c>
      <c r="S236" s="334"/>
      <c r="T236" s="206" t="s">
        <v>514</v>
      </c>
      <c r="U236" s="178"/>
      <c r="V236" s="206" t="s">
        <v>514</v>
      </c>
      <c r="W236" s="178"/>
      <c r="X236" s="206" t="s">
        <v>514</v>
      </c>
      <c r="Y236" s="178"/>
      <c r="Z236" s="206" t="s">
        <v>514</v>
      </c>
      <c r="AA236" s="178"/>
      <c r="AB236" s="316"/>
      <c r="AC236" s="239"/>
      <c r="AD236" s="163"/>
      <c r="AE236" s="164"/>
      <c r="AF236" s="165"/>
      <c r="AG236" s="272"/>
    </row>
    <row r="237" spans="1:33" s="32" customFormat="1" ht="264" x14ac:dyDescent="0.35">
      <c r="A237" s="270"/>
      <c r="B237" s="316"/>
      <c r="C237" s="316"/>
      <c r="D237" s="270"/>
      <c r="E237" s="143"/>
      <c r="F237" s="228"/>
      <c r="G237" s="228"/>
      <c r="H237" s="143"/>
      <c r="I237" s="136"/>
      <c r="J237" s="316"/>
      <c r="K237" s="158"/>
      <c r="L237" s="159"/>
      <c r="M237" s="226" t="s">
        <v>453</v>
      </c>
      <c r="N237" s="315" t="s">
        <v>532</v>
      </c>
      <c r="O237" s="206" t="s">
        <v>516</v>
      </c>
      <c r="P237" s="206" t="s">
        <v>516</v>
      </c>
      <c r="Q237" s="334"/>
      <c r="R237" s="206" t="s">
        <v>516</v>
      </c>
      <c r="S237" s="334"/>
      <c r="T237" s="206" t="s">
        <v>516</v>
      </c>
      <c r="U237" s="178"/>
      <c r="V237" s="206" t="s">
        <v>516</v>
      </c>
      <c r="W237" s="178"/>
      <c r="X237" s="206" t="s">
        <v>516</v>
      </c>
      <c r="Y237" s="178"/>
      <c r="Z237" s="206" t="s">
        <v>516</v>
      </c>
      <c r="AA237" s="178"/>
      <c r="AB237" s="316"/>
      <c r="AC237" s="239"/>
      <c r="AD237" s="163"/>
      <c r="AE237" s="164"/>
      <c r="AF237" s="165"/>
      <c r="AG237" s="272"/>
    </row>
    <row r="238" spans="1:33" s="32" customFormat="1" ht="66" x14ac:dyDescent="0.35">
      <c r="A238" s="270"/>
      <c r="B238" s="316"/>
      <c r="C238" s="316"/>
      <c r="D238" s="270"/>
      <c r="E238" s="143"/>
      <c r="F238" s="228"/>
      <c r="G238" s="228"/>
      <c r="H238" s="143"/>
      <c r="I238" s="136"/>
      <c r="J238" s="316"/>
      <c r="K238" s="158"/>
      <c r="L238" s="159"/>
      <c r="M238" s="226" t="s">
        <v>454</v>
      </c>
      <c r="N238" s="315" t="s">
        <v>533</v>
      </c>
      <c r="O238" s="206" t="s">
        <v>518</v>
      </c>
      <c r="P238" s="206" t="s">
        <v>518</v>
      </c>
      <c r="Q238" s="334"/>
      <c r="R238" s="206" t="s">
        <v>518</v>
      </c>
      <c r="S238" s="334"/>
      <c r="T238" s="206" t="s">
        <v>518</v>
      </c>
      <c r="U238" s="178"/>
      <c r="V238" s="206" t="s">
        <v>518</v>
      </c>
      <c r="W238" s="178"/>
      <c r="X238" s="206" t="s">
        <v>518</v>
      </c>
      <c r="Y238" s="178"/>
      <c r="Z238" s="206" t="s">
        <v>518</v>
      </c>
      <c r="AA238" s="178"/>
      <c r="AB238" s="316"/>
      <c r="AC238" s="239"/>
      <c r="AD238" s="163"/>
      <c r="AE238" s="164"/>
      <c r="AF238" s="165"/>
      <c r="AG238" s="272"/>
    </row>
    <row r="239" spans="1:33" s="32" customFormat="1" ht="49.5" x14ac:dyDescent="0.35">
      <c r="A239" s="270"/>
      <c r="B239" s="316"/>
      <c r="C239" s="316"/>
      <c r="D239" s="270"/>
      <c r="E239" s="143"/>
      <c r="F239" s="228"/>
      <c r="G239" s="228"/>
      <c r="H239" s="143"/>
      <c r="I239" s="136"/>
      <c r="J239" s="316"/>
      <c r="K239" s="158"/>
      <c r="L239" s="159"/>
      <c r="M239" s="226" t="s">
        <v>521</v>
      </c>
      <c r="N239" s="315" t="s">
        <v>534</v>
      </c>
      <c r="O239" s="206" t="s">
        <v>520</v>
      </c>
      <c r="P239" s="206" t="s">
        <v>520</v>
      </c>
      <c r="Q239" s="334"/>
      <c r="R239" s="206" t="s">
        <v>520</v>
      </c>
      <c r="S239" s="334"/>
      <c r="T239" s="206" t="s">
        <v>520</v>
      </c>
      <c r="U239" s="178"/>
      <c r="V239" s="206" t="s">
        <v>520</v>
      </c>
      <c r="W239" s="178"/>
      <c r="X239" s="206" t="s">
        <v>520</v>
      </c>
      <c r="Y239" s="178"/>
      <c r="Z239" s="206" t="s">
        <v>520</v>
      </c>
      <c r="AA239" s="178"/>
      <c r="AB239" s="316"/>
      <c r="AC239" s="239"/>
      <c r="AD239" s="163"/>
      <c r="AE239" s="164"/>
      <c r="AF239" s="165"/>
      <c r="AG239" s="272"/>
    </row>
    <row r="240" spans="1:33" s="32" customFormat="1" ht="49.5" x14ac:dyDescent="0.35">
      <c r="A240" s="270"/>
      <c r="B240" s="316"/>
      <c r="C240" s="316"/>
      <c r="D240" s="270"/>
      <c r="E240" s="143"/>
      <c r="F240" s="228"/>
      <c r="G240" s="228"/>
      <c r="H240" s="143"/>
      <c r="I240" s="136"/>
      <c r="J240" s="316"/>
      <c r="K240" s="158"/>
      <c r="L240" s="159"/>
      <c r="M240" s="226" t="s">
        <v>522</v>
      </c>
      <c r="N240" s="315" t="s">
        <v>536</v>
      </c>
      <c r="O240" s="316" t="s">
        <v>535</v>
      </c>
      <c r="P240" s="316" t="s">
        <v>535</v>
      </c>
      <c r="Q240" s="334"/>
      <c r="R240" s="316" t="s">
        <v>535</v>
      </c>
      <c r="S240" s="334"/>
      <c r="T240" s="316" t="s">
        <v>535</v>
      </c>
      <c r="U240" s="178"/>
      <c r="V240" s="316" t="s">
        <v>535</v>
      </c>
      <c r="W240" s="178"/>
      <c r="X240" s="316" t="s">
        <v>535</v>
      </c>
      <c r="Y240" s="178"/>
      <c r="Z240" s="316" t="s">
        <v>535</v>
      </c>
      <c r="AA240" s="178"/>
      <c r="AB240" s="316"/>
      <c r="AC240" s="239"/>
      <c r="AD240" s="163"/>
      <c r="AE240" s="164"/>
      <c r="AF240" s="165"/>
      <c r="AG240" s="272"/>
    </row>
    <row r="241" spans="1:33" s="32" customFormat="1" ht="33.75" x14ac:dyDescent="0.35">
      <c r="A241" s="270"/>
      <c r="B241" s="316"/>
      <c r="C241" s="316"/>
      <c r="D241" s="275"/>
      <c r="E241" s="143"/>
      <c r="F241" s="228"/>
      <c r="G241" s="228"/>
      <c r="H241" s="143"/>
      <c r="I241" s="136"/>
      <c r="J241" s="316"/>
      <c r="K241" s="137" t="s">
        <v>295</v>
      </c>
      <c r="L241" s="314" t="s">
        <v>291</v>
      </c>
      <c r="M241" s="507" t="s">
        <v>500</v>
      </c>
      <c r="N241" s="508"/>
      <c r="O241" s="137"/>
      <c r="P241" s="137"/>
      <c r="Q241" s="334"/>
      <c r="R241" s="137"/>
      <c r="S241" s="334"/>
      <c r="T241" s="137"/>
      <c r="U241" s="178"/>
      <c r="V241" s="137"/>
      <c r="W241" s="178"/>
      <c r="X241" s="137"/>
      <c r="Y241" s="178"/>
      <c r="Z241" s="137"/>
      <c r="AA241" s="178"/>
      <c r="AB241" s="316"/>
      <c r="AC241" s="239"/>
      <c r="AD241" s="163"/>
      <c r="AE241" s="164"/>
      <c r="AF241" s="165"/>
      <c r="AG241" s="272"/>
    </row>
    <row r="242" spans="1:33" s="32" customFormat="1" ht="33" x14ac:dyDescent="0.35">
      <c r="A242" s="270"/>
      <c r="B242" s="179"/>
      <c r="C242" s="179"/>
      <c r="D242" s="284"/>
      <c r="E242" s="180"/>
      <c r="F242" s="238"/>
      <c r="G242" s="238"/>
      <c r="H242" s="180"/>
      <c r="I242" s="181"/>
      <c r="J242" s="179"/>
      <c r="K242" s="183" t="s">
        <v>297</v>
      </c>
      <c r="L242" s="182" t="s">
        <v>291</v>
      </c>
      <c r="M242" s="198" t="s">
        <v>501</v>
      </c>
      <c r="N242" s="227"/>
      <c r="O242" s="183"/>
      <c r="P242" s="183"/>
      <c r="Q242" s="337"/>
      <c r="R242" s="183"/>
      <c r="S242" s="337"/>
      <c r="T242" s="183"/>
      <c r="U242" s="350"/>
      <c r="V242" s="183"/>
      <c r="W242" s="350"/>
      <c r="X242" s="183"/>
      <c r="Y242" s="350"/>
      <c r="Z242" s="183"/>
      <c r="AA242" s="350"/>
      <c r="AB242" s="179"/>
      <c r="AC242" s="240"/>
      <c r="AD242" s="200"/>
      <c r="AE242" s="201"/>
      <c r="AF242" s="202"/>
      <c r="AG242" s="285"/>
    </row>
    <row r="243" spans="1:33" s="32" customFormat="1" ht="18" x14ac:dyDescent="0.35">
      <c r="A243" s="270"/>
      <c r="B243" s="316"/>
      <c r="C243" s="316"/>
      <c r="D243" s="270"/>
      <c r="E243" s="143"/>
      <c r="F243" s="228"/>
      <c r="G243" s="228"/>
      <c r="H243" s="143"/>
      <c r="I243" s="136"/>
      <c r="J243" s="316"/>
      <c r="K243" s="158"/>
      <c r="L243" s="159"/>
      <c r="M243" s="159"/>
      <c r="N243" s="315"/>
      <c r="O243" s="137"/>
      <c r="P243" s="137"/>
      <c r="Q243" s="334"/>
      <c r="R243" s="137"/>
      <c r="S243" s="334"/>
      <c r="T243" s="137"/>
      <c r="U243" s="178"/>
      <c r="V243" s="137"/>
      <c r="W243" s="178"/>
      <c r="X243" s="137"/>
      <c r="Y243" s="178"/>
      <c r="Z243" s="137"/>
      <c r="AA243" s="178"/>
      <c r="AB243" s="316"/>
      <c r="AC243" s="239"/>
      <c r="AD243" s="163"/>
      <c r="AE243" s="164"/>
      <c r="AF243" s="165"/>
      <c r="AG243" s="272"/>
    </row>
    <row r="244" spans="1:33" s="32" customFormat="1" ht="33" x14ac:dyDescent="0.35">
      <c r="A244" s="270"/>
      <c r="B244" s="316"/>
      <c r="C244" s="316"/>
      <c r="D244" s="270"/>
      <c r="E244" s="143">
        <v>1</v>
      </c>
      <c r="F244" s="228" t="s">
        <v>131</v>
      </c>
      <c r="G244" s="228" t="s">
        <v>131</v>
      </c>
      <c r="H244" s="143">
        <v>10</v>
      </c>
      <c r="I244" s="136">
        <v>3</v>
      </c>
      <c r="J244" s="316" t="s">
        <v>382</v>
      </c>
      <c r="K244" s="158" t="s">
        <v>290</v>
      </c>
      <c r="L244" s="159" t="s">
        <v>291</v>
      </c>
      <c r="M244" s="514" t="s">
        <v>312</v>
      </c>
      <c r="N244" s="515"/>
      <c r="O244" s="316" t="s">
        <v>301</v>
      </c>
      <c r="P244" s="316" t="s">
        <v>301</v>
      </c>
      <c r="Q244" s="338">
        <v>16630900000</v>
      </c>
      <c r="R244" s="316" t="s">
        <v>301</v>
      </c>
      <c r="S244" s="334">
        <f>Q244+(Q244*10%)+33980000</f>
        <v>18327970000</v>
      </c>
      <c r="T244" s="316" t="s">
        <v>301</v>
      </c>
      <c r="U244" s="334">
        <f>S244+(S244*1.5%)-550</f>
        <v>18602889000</v>
      </c>
      <c r="V244" s="316" t="s">
        <v>301</v>
      </c>
      <c r="W244" s="334">
        <f>U244+(U244*1.5%)-335</f>
        <v>18881932000</v>
      </c>
      <c r="X244" s="316" t="s">
        <v>301</v>
      </c>
      <c r="Y244" s="334">
        <f>W244+(W244*1.5%)-980</f>
        <v>19165160000</v>
      </c>
      <c r="Z244" s="316" t="s">
        <v>301</v>
      </c>
      <c r="AA244" s="178">
        <f>Y244+W244+U244+S244+Q244</f>
        <v>91608851000</v>
      </c>
      <c r="AB244" s="316" t="s">
        <v>66</v>
      </c>
      <c r="AC244" s="241"/>
      <c r="AD244" s="163"/>
      <c r="AE244" s="156"/>
      <c r="AF244" s="157"/>
      <c r="AG244" s="316" t="s">
        <v>75</v>
      </c>
    </row>
    <row r="245" spans="1:33" s="32" customFormat="1" ht="82.5" x14ac:dyDescent="0.35">
      <c r="A245" s="270"/>
      <c r="B245" s="316"/>
      <c r="C245" s="316"/>
      <c r="D245" s="270"/>
      <c r="E245" s="143"/>
      <c r="F245" s="228"/>
      <c r="G245" s="228"/>
      <c r="H245" s="143"/>
      <c r="I245" s="136"/>
      <c r="J245" s="316"/>
      <c r="K245" s="158" t="s">
        <v>293</v>
      </c>
      <c r="L245" s="159" t="s">
        <v>291</v>
      </c>
      <c r="M245" s="160" t="s">
        <v>299</v>
      </c>
      <c r="N245" s="315" t="s">
        <v>537</v>
      </c>
      <c r="O245" s="506" t="s">
        <v>538</v>
      </c>
      <c r="P245" s="506" t="s">
        <v>538</v>
      </c>
      <c r="Q245" s="333"/>
      <c r="R245" s="506" t="s">
        <v>538</v>
      </c>
      <c r="S245" s="333"/>
      <c r="T245" s="506" t="s">
        <v>538</v>
      </c>
      <c r="U245" s="346"/>
      <c r="V245" s="506" t="s">
        <v>538</v>
      </c>
      <c r="W245" s="346"/>
      <c r="X245" s="506" t="s">
        <v>538</v>
      </c>
      <c r="Y245" s="346"/>
      <c r="Z245" s="506" t="s">
        <v>538</v>
      </c>
      <c r="AA245" s="351"/>
      <c r="AB245" s="127"/>
      <c r="AC245" s="241"/>
      <c r="AD245" s="163"/>
      <c r="AE245" s="156"/>
      <c r="AF245" s="157"/>
      <c r="AG245" s="272"/>
    </row>
    <row r="246" spans="1:33" s="32" customFormat="1" ht="82.5" x14ac:dyDescent="0.35">
      <c r="A246" s="270"/>
      <c r="B246" s="316"/>
      <c r="C246" s="316"/>
      <c r="D246" s="270"/>
      <c r="E246" s="143"/>
      <c r="F246" s="228"/>
      <c r="G246" s="228"/>
      <c r="H246" s="143"/>
      <c r="I246" s="136"/>
      <c r="J246" s="316"/>
      <c r="K246" s="158"/>
      <c r="L246" s="159"/>
      <c r="M246" s="160" t="s">
        <v>303</v>
      </c>
      <c r="N246" s="315" t="s">
        <v>539</v>
      </c>
      <c r="O246" s="506"/>
      <c r="P246" s="506"/>
      <c r="Q246" s="333"/>
      <c r="R246" s="506"/>
      <c r="S246" s="333"/>
      <c r="T246" s="506"/>
      <c r="U246" s="346"/>
      <c r="V246" s="506"/>
      <c r="W246" s="346"/>
      <c r="X246" s="506"/>
      <c r="Y246" s="346"/>
      <c r="Z246" s="506"/>
      <c r="AA246" s="351"/>
      <c r="AB246" s="127"/>
      <c r="AC246" s="241"/>
      <c r="AD246" s="163"/>
      <c r="AE246" s="156"/>
      <c r="AF246" s="157"/>
      <c r="AG246" s="272"/>
    </row>
    <row r="247" spans="1:33" s="32" customFormat="1" ht="66" x14ac:dyDescent="0.35">
      <c r="A247" s="270"/>
      <c r="B247" s="316"/>
      <c r="C247" s="316"/>
      <c r="D247" s="270"/>
      <c r="E247" s="143"/>
      <c r="F247" s="228"/>
      <c r="G247" s="228"/>
      <c r="H247" s="143"/>
      <c r="I247" s="136"/>
      <c r="J247" s="316"/>
      <c r="K247" s="158"/>
      <c r="L247" s="159"/>
      <c r="M247" s="160" t="s">
        <v>318</v>
      </c>
      <c r="N247" s="315" t="s">
        <v>540</v>
      </c>
      <c r="O247" s="506"/>
      <c r="P247" s="506"/>
      <c r="Q247" s="333"/>
      <c r="R247" s="506"/>
      <c r="S247" s="333"/>
      <c r="T247" s="506"/>
      <c r="U247" s="346"/>
      <c r="V247" s="506"/>
      <c r="W247" s="346"/>
      <c r="X247" s="506"/>
      <c r="Y247" s="346"/>
      <c r="Z247" s="506"/>
      <c r="AA247" s="351"/>
      <c r="AB247" s="127"/>
      <c r="AC247" s="241"/>
      <c r="AD247" s="163"/>
      <c r="AE247" s="156"/>
      <c r="AF247" s="157"/>
      <c r="AG247" s="272"/>
    </row>
    <row r="248" spans="1:33" s="32" customFormat="1" ht="66" x14ac:dyDescent="0.35">
      <c r="A248" s="270"/>
      <c r="B248" s="316"/>
      <c r="C248" s="316"/>
      <c r="D248" s="270"/>
      <c r="E248" s="143"/>
      <c r="F248" s="228"/>
      <c r="G248" s="228"/>
      <c r="H248" s="143"/>
      <c r="I248" s="136"/>
      <c r="J248" s="316"/>
      <c r="K248" s="158"/>
      <c r="L248" s="159"/>
      <c r="M248" s="160" t="s">
        <v>331</v>
      </c>
      <c r="N248" s="315" t="s">
        <v>541</v>
      </c>
      <c r="O248" s="506"/>
      <c r="P248" s="506"/>
      <c r="Q248" s="333"/>
      <c r="R248" s="506"/>
      <c r="S248" s="333"/>
      <c r="T248" s="506"/>
      <c r="U248" s="346"/>
      <c r="V248" s="506"/>
      <c r="W248" s="346"/>
      <c r="X248" s="506"/>
      <c r="Y248" s="346"/>
      <c r="Z248" s="506"/>
      <c r="AA248" s="351"/>
      <c r="AB248" s="127"/>
      <c r="AC248" s="241"/>
      <c r="AD248" s="163"/>
      <c r="AE248" s="156"/>
      <c r="AF248" s="157"/>
      <c r="AG248" s="272"/>
    </row>
    <row r="249" spans="1:33" s="32" customFormat="1" ht="165" x14ac:dyDescent="0.35">
      <c r="A249" s="270"/>
      <c r="B249" s="316"/>
      <c r="C249" s="316"/>
      <c r="D249" s="270"/>
      <c r="E249" s="143"/>
      <c r="F249" s="228"/>
      <c r="G249" s="228"/>
      <c r="H249" s="143"/>
      <c r="I249" s="136"/>
      <c r="J249" s="316"/>
      <c r="K249" s="158"/>
      <c r="L249" s="159"/>
      <c r="M249" s="160" t="s">
        <v>353</v>
      </c>
      <c r="N249" s="315" t="s">
        <v>542</v>
      </c>
      <c r="O249" s="316" t="s">
        <v>543</v>
      </c>
      <c r="P249" s="316" t="s">
        <v>543</v>
      </c>
      <c r="Q249" s="333"/>
      <c r="R249" s="316" t="s">
        <v>543</v>
      </c>
      <c r="S249" s="333"/>
      <c r="T249" s="316" t="s">
        <v>543</v>
      </c>
      <c r="U249" s="346"/>
      <c r="V249" s="316" t="s">
        <v>543</v>
      </c>
      <c r="W249" s="346"/>
      <c r="X249" s="316" t="s">
        <v>543</v>
      </c>
      <c r="Y249" s="346"/>
      <c r="Z249" s="316" t="s">
        <v>543</v>
      </c>
      <c r="AA249" s="351"/>
      <c r="AB249" s="127"/>
      <c r="AC249" s="241"/>
      <c r="AD249" s="163"/>
      <c r="AE249" s="156"/>
      <c r="AF249" s="157"/>
      <c r="AG249" s="272"/>
    </row>
    <row r="250" spans="1:33" s="32" customFormat="1" ht="49.5" x14ac:dyDescent="0.35">
      <c r="A250" s="270"/>
      <c r="B250" s="316"/>
      <c r="C250" s="316"/>
      <c r="D250" s="270"/>
      <c r="E250" s="143"/>
      <c r="F250" s="228"/>
      <c r="G250" s="228"/>
      <c r="H250" s="143"/>
      <c r="I250" s="136"/>
      <c r="J250" s="316"/>
      <c r="K250" s="158"/>
      <c r="L250" s="159"/>
      <c r="M250" s="160" t="s">
        <v>352</v>
      </c>
      <c r="N250" s="315" t="s">
        <v>544</v>
      </c>
      <c r="O250" s="316" t="s">
        <v>545</v>
      </c>
      <c r="P250" s="316" t="s">
        <v>545</v>
      </c>
      <c r="Q250" s="333"/>
      <c r="R250" s="316" t="s">
        <v>545</v>
      </c>
      <c r="S250" s="333"/>
      <c r="T250" s="316" t="s">
        <v>545</v>
      </c>
      <c r="U250" s="346"/>
      <c r="V250" s="316" t="s">
        <v>545</v>
      </c>
      <c r="W250" s="346"/>
      <c r="X250" s="316" t="s">
        <v>545</v>
      </c>
      <c r="Y250" s="346"/>
      <c r="Z250" s="316" t="s">
        <v>545</v>
      </c>
      <c r="AA250" s="351"/>
      <c r="AB250" s="127"/>
      <c r="AC250" s="241"/>
      <c r="AD250" s="163"/>
      <c r="AE250" s="156"/>
      <c r="AF250" s="157"/>
      <c r="AG250" s="272"/>
    </row>
    <row r="251" spans="1:33" s="32" customFormat="1" ht="66" x14ac:dyDescent="0.35">
      <c r="A251" s="270"/>
      <c r="B251" s="316"/>
      <c r="C251" s="316"/>
      <c r="D251" s="270"/>
      <c r="E251" s="143"/>
      <c r="F251" s="228"/>
      <c r="G251" s="228"/>
      <c r="H251" s="143"/>
      <c r="I251" s="136"/>
      <c r="J251" s="316"/>
      <c r="K251" s="137"/>
      <c r="L251" s="314"/>
      <c r="M251" s="226" t="s">
        <v>402</v>
      </c>
      <c r="N251" s="315" t="s">
        <v>546</v>
      </c>
      <c r="O251" s="316"/>
      <c r="P251" s="316"/>
      <c r="Q251" s="333"/>
      <c r="R251" s="316"/>
      <c r="S251" s="333"/>
      <c r="T251" s="316"/>
      <c r="U251" s="346"/>
      <c r="V251" s="316"/>
      <c r="W251" s="346"/>
      <c r="X251" s="316"/>
      <c r="Y251" s="346"/>
      <c r="Z251" s="316"/>
      <c r="AA251" s="351"/>
      <c r="AB251" s="127"/>
      <c r="AC251" s="241"/>
      <c r="AD251" s="163"/>
      <c r="AE251" s="156"/>
      <c r="AF251" s="157"/>
      <c r="AG251" s="272"/>
    </row>
    <row r="252" spans="1:33" s="32" customFormat="1" ht="82.5" x14ac:dyDescent="0.35">
      <c r="A252" s="270"/>
      <c r="B252" s="316"/>
      <c r="C252" s="316"/>
      <c r="D252" s="270"/>
      <c r="E252" s="143"/>
      <c r="F252" s="228"/>
      <c r="G252" s="228"/>
      <c r="H252" s="143"/>
      <c r="I252" s="136"/>
      <c r="J252" s="316"/>
      <c r="K252" s="137"/>
      <c r="L252" s="314"/>
      <c r="M252" s="226" t="s">
        <v>453</v>
      </c>
      <c r="N252" s="315" t="s">
        <v>547</v>
      </c>
      <c r="O252" s="316"/>
      <c r="P252" s="316"/>
      <c r="Q252" s="333"/>
      <c r="R252" s="316"/>
      <c r="S252" s="333"/>
      <c r="T252" s="316"/>
      <c r="U252" s="346"/>
      <c r="V252" s="316"/>
      <c r="W252" s="346"/>
      <c r="X252" s="316"/>
      <c r="Y252" s="346"/>
      <c r="Z252" s="316"/>
      <c r="AA252" s="351"/>
      <c r="AB252" s="127"/>
      <c r="AC252" s="241"/>
      <c r="AD252" s="163"/>
      <c r="AE252" s="156"/>
      <c r="AF252" s="157"/>
      <c r="AG252" s="272"/>
    </row>
    <row r="253" spans="1:33" s="32" customFormat="1" ht="66" x14ac:dyDescent="0.35">
      <c r="A253" s="270"/>
      <c r="B253" s="316"/>
      <c r="C253" s="316"/>
      <c r="D253" s="270"/>
      <c r="E253" s="143"/>
      <c r="F253" s="228"/>
      <c r="G253" s="228"/>
      <c r="H253" s="143"/>
      <c r="I253" s="136"/>
      <c r="J253" s="316"/>
      <c r="K253" s="137"/>
      <c r="L253" s="314"/>
      <c r="M253" s="226" t="s">
        <v>454</v>
      </c>
      <c r="N253" s="315" t="s">
        <v>548</v>
      </c>
      <c r="O253" s="316"/>
      <c r="P253" s="316"/>
      <c r="Q253" s="333"/>
      <c r="R253" s="316"/>
      <c r="S253" s="333"/>
      <c r="T253" s="316"/>
      <c r="U253" s="346"/>
      <c r="V253" s="316"/>
      <c r="W253" s="346"/>
      <c r="X253" s="316"/>
      <c r="Y253" s="346"/>
      <c r="Z253" s="316"/>
      <c r="AA253" s="351"/>
      <c r="AB253" s="127"/>
      <c r="AC253" s="241"/>
      <c r="AD253" s="163"/>
      <c r="AE253" s="156"/>
      <c r="AF253" s="157"/>
      <c r="AG253" s="272"/>
    </row>
    <row r="254" spans="1:33" s="32" customFormat="1" ht="66" x14ac:dyDescent="0.35">
      <c r="A254" s="270"/>
      <c r="B254" s="316"/>
      <c r="C254" s="316"/>
      <c r="D254" s="270"/>
      <c r="E254" s="143"/>
      <c r="F254" s="228"/>
      <c r="G254" s="228"/>
      <c r="H254" s="143"/>
      <c r="I254" s="136"/>
      <c r="J254" s="316"/>
      <c r="K254" s="137"/>
      <c r="L254" s="314"/>
      <c r="M254" s="226" t="s">
        <v>521</v>
      </c>
      <c r="N254" s="315" t="s">
        <v>549</v>
      </c>
      <c r="O254" s="316"/>
      <c r="P254" s="316"/>
      <c r="Q254" s="333"/>
      <c r="R254" s="316"/>
      <c r="S254" s="333"/>
      <c r="T254" s="316"/>
      <c r="U254" s="346"/>
      <c r="V254" s="316"/>
      <c r="W254" s="346"/>
      <c r="X254" s="316"/>
      <c r="Y254" s="346"/>
      <c r="Z254" s="316"/>
      <c r="AA254" s="351"/>
      <c r="AB254" s="127"/>
      <c r="AC254" s="241"/>
      <c r="AD254" s="163"/>
      <c r="AE254" s="156"/>
      <c r="AF254" s="157"/>
      <c r="AG254" s="272"/>
    </row>
    <row r="255" spans="1:33" s="32" customFormat="1" ht="33" x14ac:dyDescent="0.35">
      <c r="A255" s="270"/>
      <c r="B255" s="316"/>
      <c r="C255" s="316"/>
      <c r="D255" s="270"/>
      <c r="E255" s="143"/>
      <c r="F255" s="228"/>
      <c r="G255" s="228"/>
      <c r="H255" s="143"/>
      <c r="I255" s="136"/>
      <c r="J255" s="316"/>
      <c r="K255" s="137"/>
      <c r="L255" s="314"/>
      <c r="M255" s="226" t="s">
        <v>522</v>
      </c>
      <c r="N255" s="315" t="s">
        <v>550</v>
      </c>
      <c r="O255" s="316"/>
      <c r="P255" s="316"/>
      <c r="Q255" s="333"/>
      <c r="R255" s="316"/>
      <c r="S255" s="333"/>
      <c r="T255" s="316"/>
      <c r="U255" s="346"/>
      <c r="V255" s="316"/>
      <c r="W255" s="346"/>
      <c r="X255" s="316"/>
      <c r="Y255" s="346"/>
      <c r="Z255" s="316"/>
      <c r="AA255" s="351"/>
      <c r="AB255" s="127"/>
      <c r="AC255" s="241"/>
      <c r="AD255" s="163"/>
      <c r="AE255" s="156"/>
      <c r="AF255" s="157"/>
      <c r="AG255" s="272"/>
    </row>
    <row r="256" spans="1:33" s="32" customFormat="1" ht="99" x14ac:dyDescent="0.35">
      <c r="A256" s="270"/>
      <c r="B256" s="316"/>
      <c r="C256" s="316"/>
      <c r="D256" s="270"/>
      <c r="E256" s="143"/>
      <c r="F256" s="228"/>
      <c r="G256" s="228"/>
      <c r="H256" s="143"/>
      <c r="I256" s="136"/>
      <c r="J256" s="316"/>
      <c r="K256" s="137"/>
      <c r="L256" s="314"/>
      <c r="M256" s="226" t="s">
        <v>523</v>
      </c>
      <c r="N256" s="321" t="s">
        <v>551</v>
      </c>
      <c r="O256" s="316" t="s">
        <v>143</v>
      </c>
      <c r="P256" s="316" t="s">
        <v>143</v>
      </c>
      <c r="Q256" s="333"/>
      <c r="R256" s="316" t="s">
        <v>143</v>
      </c>
      <c r="S256" s="333"/>
      <c r="T256" s="316" t="s">
        <v>143</v>
      </c>
      <c r="U256" s="346"/>
      <c r="V256" s="316" t="s">
        <v>143</v>
      </c>
      <c r="W256" s="346"/>
      <c r="X256" s="316" t="s">
        <v>143</v>
      </c>
      <c r="Y256" s="346"/>
      <c r="Z256" s="316" t="s">
        <v>143</v>
      </c>
      <c r="AA256" s="351"/>
      <c r="AB256" s="127"/>
      <c r="AC256" s="241"/>
      <c r="AD256" s="163"/>
      <c r="AE256" s="156"/>
      <c r="AF256" s="157"/>
      <c r="AG256" s="272"/>
    </row>
    <row r="257" spans="1:33" s="32" customFormat="1" ht="33" x14ac:dyDescent="0.35">
      <c r="A257" s="270"/>
      <c r="B257" s="316"/>
      <c r="C257" s="316"/>
      <c r="D257" s="270"/>
      <c r="E257" s="143"/>
      <c r="F257" s="228"/>
      <c r="G257" s="228"/>
      <c r="H257" s="143"/>
      <c r="I257" s="136"/>
      <c r="J257" s="316"/>
      <c r="K257" s="137"/>
      <c r="L257" s="314"/>
      <c r="M257" s="226" t="s">
        <v>524</v>
      </c>
      <c r="N257" s="321" t="s">
        <v>552</v>
      </c>
      <c r="O257" s="316" t="s">
        <v>143</v>
      </c>
      <c r="P257" s="316" t="s">
        <v>143</v>
      </c>
      <c r="Q257" s="333"/>
      <c r="R257" s="316" t="s">
        <v>143</v>
      </c>
      <c r="S257" s="333"/>
      <c r="T257" s="316" t="s">
        <v>143</v>
      </c>
      <c r="U257" s="346"/>
      <c r="V257" s="316" t="s">
        <v>143</v>
      </c>
      <c r="W257" s="346"/>
      <c r="X257" s="316" t="s">
        <v>143</v>
      </c>
      <c r="Y257" s="346"/>
      <c r="Z257" s="316" t="s">
        <v>143</v>
      </c>
      <c r="AA257" s="351"/>
      <c r="AB257" s="127"/>
      <c r="AC257" s="241"/>
      <c r="AD257" s="163"/>
      <c r="AE257" s="156"/>
      <c r="AF257" s="157"/>
      <c r="AG257" s="272"/>
    </row>
    <row r="258" spans="1:33" s="32" customFormat="1" ht="49.5" x14ac:dyDescent="0.35">
      <c r="A258" s="270"/>
      <c r="B258" s="316"/>
      <c r="C258" s="316"/>
      <c r="D258" s="270"/>
      <c r="E258" s="143"/>
      <c r="F258" s="228"/>
      <c r="G258" s="228"/>
      <c r="H258" s="143"/>
      <c r="I258" s="136"/>
      <c r="J258" s="316"/>
      <c r="K258" s="137"/>
      <c r="L258" s="314"/>
      <c r="M258" s="226" t="s">
        <v>563</v>
      </c>
      <c r="N258" s="321" t="s">
        <v>553</v>
      </c>
      <c r="O258" s="316" t="s">
        <v>554</v>
      </c>
      <c r="P258" s="316" t="s">
        <v>554</v>
      </c>
      <c r="Q258" s="333"/>
      <c r="R258" s="316" t="s">
        <v>554</v>
      </c>
      <c r="S258" s="333"/>
      <c r="T258" s="316" t="s">
        <v>554</v>
      </c>
      <c r="U258" s="346"/>
      <c r="V258" s="316" t="s">
        <v>554</v>
      </c>
      <c r="W258" s="346"/>
      <c r="X258" s="316" t="s">
        <v>554</v>
      </c>
      <c r="Y258" s="346"/>
      <c r="Z258" s="316" t="s">
        <v>554</v>
      </c>
      <c r="AA258" s="351"/>
      <c r="AB258" s="127"/>
      <c r="AC258" s="241"/>
      <c r="AD258" s="163"/>
      <c r="AE258" s="156"/>
      <c r="AF258" s="157"/>
      <c r="AG258" s="272"/>
    </row>
    <row r="259" spans="1:33" s="32" customFormat="1" ht="82.5" x14ac:dyDescent="0.35">
      <c r="A259" s="270"/>
      <c r="B259" s="316"/>
      <c r="C259" s="316"/>
      <c r="D259" s="270"/>
      <c r="E259" s="143"/>
      <c r="F259" s="228"/>
      <c r="G259" s="228"/>
      <c r="H259" s="143"/>
      <c r="I259" s="136"/>
      <c r="J259" s="316"/>
      <c r="K259" s="137"/>
      <c r="L259" s="314"/>
      <c r="M259" s="226" t="s">
        <v>564</v>
      </c>
      <c r="N259" s="321" t="s">
        <v>555</v>
      </c>
      <c r="O259" s="316" t="s">
        <v>556</v>
      </c>
      <c r="P259" s="316" t="s">
        <v>556</v>
      </c>
      <c r="Q259" s="333"/>
      <c r="R259" s="316" t="s">
        <v>556</v>
      </c>
      <c r="S259" s="333"/>
      <c r="T259" s="316" t="s">
        <v>556</v>
      </c>
      <c r="U259" s="346"/>
      <c r="V259" s="316" t="s">
        <v>556</v>
      </c>
      <c r="W259" s="346"/>
      <c r="X259" s="316" t="s">
        <v>556</v>
      </c>
      <c r="Y259" s="346"/>
      <c r="Z259" s="316" t="s">
        <v>556</v>
      </c>
      <c r="AA259" s="351"/>
      <c r="AB259" s="127"/>
      <c r="AC259" s="241"/>
      <c r="AD259" s="163"/>
      <c r="AE259" s="156"/>
      <c r="AF259" s="157"/>
      <c r="AG259" s="272"/>
    </row>
    <row r="260" spans="1:33" s="32" customFormat="1" ht="67.5" x14ac:dyDescent="0.35">
      <c r="A260" s="270"/>
      <c r="B260" s="316"/>
      <c r="C260" s="316"/>
      <c r="D260" s="270"/>
      <c r="E260" s="143"/>
      <c r="F260" s="228"/>
      <c r="G260" s="228"/>
      <c r="H260" s="143"/>
      <c r="I260" s="136"/>
      <c r="J260" s="316"/>
      <c r="K260" s="137"/>
      <c r="L260" s="314"/>
      <c r="M260" s="226" t="s">
        <v>565</v>
      </c>
      <c r="N260" s="321" t="s">
        <v>1012</v>
      </c>
      <c r="O260" s="316" t="s">
        <v>557</v>
      </c>
      <c r="P260" s="316" t="s">
        <v>557</v>
      </c>
      <c r="Q260" s="333"/>
      <c r="R260" s="316" t="s">
        <v>557</v>
      </c>
      <c r="S260" s="333"/>
      <c r="T260" s="316" t="s">
        <v>557</v>
      </c>
      <c r="U260" s="346"/>
      <c r="V260" s="316" t="s">
        <v>557</v>
      </c>
      <c r="W260" s="346"/>
      <c r="X260" s="316" t="s">
        <v>557</v>
      </c>
      <c r="Y260" s="346"/>
      <c r="Z260" s="316" t="s">
        <v>557</v>
      </c>
      <c r="AA260" s="351"/>
      <c r="AB260" s="127"/>
      <c r="AC260" s="241"/>
      <c r="AD260" s="163"/>
      <c r="AE260" s="156"/>
      <c r="AF260" s="157"/>
      <c r="AG260" s="272"/>
    </row>
    <row r="261" spans="1:33" s="32" customFormat="1" ht="33" x14ac:dyDescent="0.35">
      <c r="A261" s="270"/>
      <c r="B261" s="316"/>
      <c r="C261" s="316"/>
      <c r="D261" s="270"/>
      <c r="E261" s="143"/>
      <c r="F261" s="228"/>
      <c r="G261" s="228"/>
      <c r="H261" s="143"/>
      <c r="I261" s="136"/>
      <c r="J261" s="316"/>
      <c r="K261" s="137"/>
      <c r="L261" s="314"/>
      <c r="M261" s="226" t="s">
        <v>566</v>
      </c>
      <c r="N261" s="315" t="s">
        <v>558</v>
      </c>
      <c r="O261" s="316" t="s">
        <v>432</v>
      </c>
      <c r="P261" s="316" t="s">
        <v>432</v>
      </c>
      <c r="Q261" s="333"/>
      <c r="R261" s="316" t="s">
        <v>432</v>
      </c>
      <c r="S261" s="333"/>
      <c r="T261" s="316" t="s">
        <v>432</v>
      </c>
      <c r="U261" s="346"/>
      <c r="V261" s="316" t="s">
        <v>432</v>
      </c>
      <c r="W261" s="346"/>
      <c r="X261" s="316" t="s">
        <v>432</v>
      </c>
      <c r="Y261" s="346"/>
      <c r="Z261" s="316" t="s">
        <v>432</v>
      </c>
      <c r="AA261" s="351"/>
      <c r="AB261" s="127"/>
      <c r="AC261" s="241"/>
      <c r="AD261" s="163"/>
      <c r="AE261" s="156"/>
      <c r="AF261" s="157"/>
      <c r="AG261" s="272"/>
    </row>
    <row r="262" spans="1:33" s="32" customFormat="1" ht="99" x14ac:dyDescent="0.35">
      <c r="A262" s="270"/>
      <c r="B262" s="316"/>
      <c r="C262" s="316"/>
      <c r="D262" s="270"/>
      <c r="E262" s="143"/>
      <c r="F262" s="228"/>
      <c r="G262" s="228"/>
      <c r="H262" s="143"/>
      <c r="I262" s="136"/>
      <c r="J262" s="316"/>
      <c r="K262" s="137"/>
      <c r="L262" s="314"/>
      <c r="M262" s="226" t="s">
        <v>567</v>
      </c>
      <c r="N262" s="315" t="s">
        <v>559</v>
      </c>
      <c r="O262" s="316" t="s">
        <v>432</v>
      </c>
      <c r="P262" s="316" t="s">
        <v>432</v>
      </c>
      <c r="Q262" s="333"/>
      <c r="R262" s="316" t="s">
        <v>432</v>
      </c>
      <c r="S262" s="333"/>
      <c r="T262" s="316" t="s">
        <v>432</v>
      </c>
      <c r="U262" s="346"/>
      <c r="V262" s="316" t="s">
        <v>432</v>
      </c>
      <c r="W262" s="346"/>
      <c r="X262" s="316" t="s">
        <v>432</v>
      </c>
      <c r="Y262" s="346"/>
      <c r="Z262" s="316" t="s">
        <v>432</v>
      </c>
      <c r="AA262" s="351"/>
      <c r="AB262" s="127"/>
      <c r="AC262" s="241"/>
      <c r="AD262" s="163"/>
      <c r="AE262" s="156"/>
      <c r="AF262" s="157"/>
      <c r="AG262" s="272"/>
    </row>
    <row r="263" spans="1:33" s="32" customFormat="1" ht="66" x14ac:dyDescent="0.35">
      <c r="A263" s="270"/>
      <c r="B263" s="316"/>
      <c r="C263" s="316"/>
      <c r="D263" s="270"/>
      <c r="E263" s="143"/>
      <c r="F263" s="228"/>
      <c r="G263" s="228"/>
      <c r="H263" s="143"/>
      <c r="I263" s="136"/>
      <c r="J263" s="316"/>
      <c r="K263" s="137"/>
      <c r="L263" s="314"/>
      <c r="M263" s="226" t="s">
        <v>568</v>
      </c>
      <c r="N263" s="315" t="s">
        <v>560</v>
      </c>
      <c r="O263" s="316" t="s">
        <v>432</v>
      </c>
      <c r="P263" s="316" t="s">
        <v>432</v>
      </c>
      <c r="Q263" s="333"/>
      <c r="R263" s="316" t="s">
        <v>432</v>
      </c>
      <c r="S263" s="333"/>
      <c r="T263" s="316" t="s">
        <v>432</v>
      </c>
      <c r="U263" s="346"/>
      <c r="V263" s="316" t="s">
        <v>432</v>
      </c>
      <c r="W263" s="346"/>
      <c r="X263" s="316" t="s">
        <v>432</v>
      </c>
      <c r="Y263" s="346"/>
      <c r="Z263" s="316" t="s">
        <v>432</v>
      </c>
      <c r="AA263" s="351"/>
      <c r="AB263" s="127"/>
      <c r="AC263" s="241"/>
      <c r="AD263" s="163"/>
      <c r="AE263" s="156"/>
      <c r="AF263" s="157"/>
      <c r="AG263" s="272"/>
    </row>
    <row r="264" spans="1:33" s="32" customFormat="1" ht="49.5" x14ac:dyDescent="0.35">
      <c r="A264" s="270"/>
      <c r="B264" s="316"/>
      <c r="C264" s="316"/>
      <c r="D264" s="270"/>
      <c r="E264" s="143"/>
      <c r="F264" s="228"/>
      <c r="G264" s="228"/>
      <c r="H264" s="143"/>
      <c r="I264" s="136"/>
      <c r="J264" s="316"/>
      <c r="K264" s="137"/>
      <c r="L264" s="314"/>
      <c r="M264" s="226" t="s">
        <v>569</v>
      </c>
      <c r="N264" s="315" t="s">
        <v>561</v>
      </c>
      <c r="O264" s="316" t="s">
        <v>562</v>
      </c>
      <c r="P264" s="316" t="s">
        <v>562</v>
      </c>
      <c r="Q264" s="333"/>
      <c r="R264" s="316" t="s">
        <v>562</v>
      </c>
      <c r="S264" s="333"/>
      <c r="T264" s="316" t="s">
        <v>562</v>
      </c>
      <c r="U264" s="346"/>
      <c r="V264" s="316" t="s">
        <v>562</v>
      </c>
      <c r="W264" s="346"/>
      <c r="X264" s="316" t="s">
        <v>562</v>
      </c>
      <c r="Y264" s="346"/>
      <c r="Z264" s="316" t="s">
        <v>562</v>
      </c>
      <c r="AA264" s="351"/>
      <c r="AB264" s="127"/>
      <c r="AC264" s="241"/>
      <c r="AD264" s="163"/>
      <c r="AE264" s="156"/>
      <c r="AF264" s="157"/>
      <c r="AG264" s="272"/>
    </row>
    <row r="265" spans="1:33" s="32" customFormat="1" ht="49.5" x14ac:dyDescent="0.35">
      <c r="A265" s="270"/>
      <c r="B265" s="316"/>
      <c r="C265" s="316"/>
      <c r="D265" s="270"/>
      <c r="E265" s="143"/>
      <c r="F265" s="228"/>
      <c r="G265" s="228"/>
      <c r="H265" s="143"/>
      <c r="I265" s="136"/>
      <c r="J265" s="316"/>
      <c r="K265" s="158" t="s">
        <v>294</v>
      </c>
      <c r="L265" s="159" t="s">
        <v>291</v>
      </c>
      <c r="M265" s="226" t="s">
        <v>299</v>
      </c>
      <c r="N265" s="315" t="s">
        <v>570</v>
      </c>
      <c r="O265" s="196">
        <v>1</v>
      </c>
      <c r="P265" s="196">
        <v>1</v>
      </c>
      <c r="Q265" s="333"/>
      <c r="R265" s="196">
        <v>1</v>
      </c>
      <c r="S265" s="333"/>
      <c r="T265" s="196">
        <v>1</v>
      </c>
      <c r="U265" s="346"/>
      <c r="V265" s="196">
        <v>1</v>
      </c>
      <c r="W265" s="346"/>
      <c r="X265" s="196">
        <v>1</v>
      </c>
      <c r="Y265" s="346"/>
      <c r="Z265" s="196">
        <v>1</v>
      </c>
      <c r="AA265" s="351"/>
      <c r="AB265" s="127"/>
      <c r="AC265" s="241"/>
      <c r="AD265" s="163"/>
      <c r="AE265" s="156"/>
      <c r="AF265" s="157"/>
      <c r="AG265" s="272"/>
    </row>
    <row r="266" spans="1:33" s="32" customFormat="1" ht="82.5" x14ac:dyDescent="0.35">
      <c r="A266" s="270"/>
      <c r="B266" s="316"/>
      <c r="C266" s="316"/>
      <c r="D266" s="270"/>
      <c r="E266" s="143"/>
      <c r="F266" s="228"/>
      <c r="G266" s="228"/>
      <c r="H266" s="143"/>
      <c r="I266" s="136"/>
      <c r="J266" s="316"/>
      <c r="K266" s="158"/>
      <c r="L266" s="159"/>
      <c r="M266" s="226" t="s">
        <v>303</v>
      </c>
      <c r="N266" s="315" t="s">
        <v>571</v>
      </c>
      <c r="O266" s="316" t="s">
        <v>543</v>
      </c>
      <c r="P266" s="316" t="s">
        <v>543</v>
      </c>
      <c r="Q266" s="333"/>
      <c r="R266" s="316" t="s">
        <v>543</v>
      </c>
      <c r="S266" s="333"/>
      <c r="T266" s="316" t="s">
        <v>543</v>
      </c>
      <c r="U266" s="346"/>
      <c r="V266" s="316" t="s">
        <v>543</v>
      </c>
      <c r="W266" s="346"/>
      <c r="X266" s="316" t="s">
        <v>543</v>
      </c>
      <c r="Y266" s="346"/>
      <c r="Z266" s="316" t="s">
        <v>543</v>
      </c>
      <c r="AA266" s="351"/>
      <c r="AB266" s="127"/>
      <c r="AC266" s="241"/>
      <c r="AD266" s="163"/>
      <c r="AE266" s="156"/>
      <c r="AF266" s="157"/>
      <c r="AG266" s="272"/>
    </row>
    <row r="267" spans="1:33" s="32" customFormat="1" ht="49.5" x14ac:dyDescent="0.35">
      <c r="A267" s="270"/>
      <c r="B267" s="316"/>
      <c r="C267" s="316"/>
      <c r="D267" s="270"/>
      <c r="E267" s="143"/>
      <c r="F267" s="228"/>
      <c r="G267" s="228"/>
      <c r="H267" s="143"/>
      <c r="I267" s="136"/>
      <c r="J267" s="316"/>
      <c r="K267" s="158"/>
      <c r="L267" s="159"/>
      <c r="M267" s="226" t="s">
        <v>318</v>
      </c>
      <c r="N267" s="315" t="s">
        <v>572</v>
      </c>
      <c r="O267" s="196" t="s">
        <v>573</v>
      </c>
      <c r="P267" s="196" t="s">
        <v>573</v>
      </c>
      <c r="Q267" s="333"/>
      <c r="R267" s="196" t="s">
        <v>573</v>
      </c>
      <c r="S267" s="333"/>
      <c r="T267" s="196" t="s">
        <v>573</v>
      </c>
      <c r="U267" s="346"/>
      <c r="V267" s="196" t="s">
        <v>573</v>
      </c>
      <c r="W267" s="346"/>
      <c r="X267" s="196" t="s">
        <v>573</v>
      </c>
      <c r="Y267" s="346"/>
      <c r="Z267" s="196" t="s">
        <v>573</v>
      </c>
      <c r="AA267" s="351"/>
      <c r="AB267" s="127"/>
      <c r="AC267" s="241"/>
      <c r="AD267" s="163"/>
      <c r="AE267" s="156"/>
      <c r="AF267" s="157"/>
      <c r="AG267" s="272"/>
    </row>
    <row r="268" spans="1:33" s="32" customFormat="1" ht="66" x14ac:dyDescent="0.35">
      <c r="A268" s="270"/>
      <c r="B268" s="316"/>
      <c r="C268" s="316"/>
      <c r="D268" s="270"/>
      <c r="E268" s="143"/>
      <c r="F268" s="228"/>
      <c r="G268" s="228"/>
      <c r="H268" s="143"/>
      <c r="I268" s="136"/>
      <c r="J268" s="316"/>
      <c r="K268" s="158"/>
      <c r="L268" s="159"/>
      <c r="M268" s="226" t="s">
        <v>331</v>
      </c>
      <c r="N268" s="315" t="s">
        <v>574</v>
      </c>
      <c r="O268" s="316" t="s">
        <v>143</v>
      </c>
      <c r="P268" s="316" t="s">
        <v>143</v>
      </c>
      <c r="Q268" s="333"/>
      <c r="R268" s="316" t="s">
        <v>143</v>
      </c>
      <c r="S268" s="333"/>
      <c r="T268" s="316" t="s">
        <v>143</v>
      </c>
      <c r="U268" s="346"/>
      <c r="V268" s="316" t="s">
        <v>143</v>
      </c>
      <c r="W268" s="346"/>
      <c r="X268" s="316" t="s">
        <v>143</v>
      </c>
      <c r="Y268" s="346"/>
      <c r="Z268" s="316" t="s">
        <v>143</v>
      </c>
      <c r="AA268" s="351"/>
      <c r="AB268" s="127"/>
      <c r="AC268" s="241"/>
      <c r="AD268" s="163"/>
      <c r="AE268" s="156"/>
      <c r="AF268" s="157"/>
      <c r="AG268" s="272"/>
    </row>
    <row r="269" spans="1:33" s="32" customFormat="1" ht="49.5" x14ac:dyDescent="0.35">
      <c r="A269" s="270"/>
      <c r="B269" s="316"/>
      <c r="C269" s="316"/>
      <c r="D269" s="270"/>
      <c r="E269" s="143"/>
      <c r="F269" s="228"/>
      <c r="G269" s="228"/>
      <c r="H269" s="143"/>
      <c r="I269" s="136"/>
      <c r="J269" s="316"/>
      <c r="K269" s="158"/>
      <c r="L269" s="159"/>
      <c r="M269" s="226" t="s">
        <v>353</v>
      </c>
      <c r="N269" s="315" t="s">
        <v>575</v>
      </c>
      <c r="O269" s="316" t="s">
        <v>143</v>
      </c>
      <c r="P269" s="316" t="s">
        <v>143</v>
      </c>
      <c r="Q269" s="333"/>
      <c r="R269" s="316" t="s">
        <v>143</v>
      </c>
      <c r="S269" s="333"/>
      <c r="T269" s="316" t="s">
        <v>143</v>
      </c>
      <c r="U269" s="346"/>
      <c r="V269" s="316" t="s">
        <v>143</v>
      </c>
      <c r="W269" s="346"/>
      <c r="X269" s="316" t="s">
        <v>143</v>
      </c>
      <c r="Y269" s="346"/>
      <c r="Z269" s="316" t="s">
        <v>143</v>
      </c>
      <c r="AA269" s="351"/>
      <c r="AB269" s="127"/>
      <c r="AC269" s="241"/>
      <c r="AD269" s="163"/>
      <c r="AE269" s="156"/>
      <c r="AF269" s="157"/>
      <c r="AG269" s="272"/>
    </row>
    <row r="270" spans="1:33" s="32" customFormat="1" ht="49.5" x14ac:dyDescent="0.35">
      <c r="A270" s="270"/>
      <c r="B270" s="316"/>
      <c r="C270" s="316"/>
      <c r="D270" s="270"/>
      <c r="E270" s="143"/>
      <c r="F270" s="228"/>
      <c r="G270" s="228"/>
      <c r="H270" s="143"/>
      <c r="I270" s="136"/>
      <c r="J270" s="316"/>
      <c r="K270" s="158"/>
      <c r="L270" s="159"/>
      <c r="M270" s="226" t="s">
        <v>352</v>
      </c>
      <c r="N270" s="315" t="s">
        <v>576</v>
      </c>
      <c r="O270" s="316" t="s">
        <v>554</v>
      </c>
      <c r="P270" s="316" t="s">
        <v>554</v>
      </c>
      <c r="Q270" s="333"/>
      <c r="R270" s="316" t="s">
        <v>554</v>
      </c>
      <c r="S270" s="333"/>
      <c r="T270" s="316" t="s">
        <v>554</v>
      </c>
      <c r="U270" s="346"/>
      <c r="V270" s="316" t="s">
        <v>554</v>
      </c>
      <c r="W270" s="346"/>
      <c r="X270" s="316" t="s">
        <v>554</v>
      </c>
      <c r="Y270" s="346"/>
      <c r="Z270" s="316" t="s">
        <v>554</v>
      </c>
      <c r="AA270" s="351"/>
      <c r="AB270" s="127"/>
      <c r="AC270" s="241"/>
      <c r="AD270" s="163"/>
      <c r="AE270" s="156"/>
      <c r="AF270" s="157"/>
      <c r="AG270" s="272"/>
    </row>
    <row r="271" spans="1:33" s="32" customFormat="1" ht="49.5" x14ac:dyDescent="0.35">
      <c r="A271" s="270"/>
      <c r="B271" s="316"/>
      <c r="C271" s="316"/>
      <c r="D271" s="270"/>
      <c r="E271" s="143"/>
      <c r="F271" s="228"/>
      <c r="G271" s="228"/>
      <c r="H271" s="143"/>
      <c r="I271" s="136"/>
      <c r="J271" s="316"/>
      <c r="K271" s="158"/>
      <c r="L271" s="159"/>
      <c r="M271" s="226" t="s">
        <v>402</v>
      </c>
      <c r="N271" s="315" t="s">
        <v>577</v>
      </c>
      <c r="O271" s="316" t="s">
        <v>556</v>
      </c>
      <c r="P271" s="316" t="s">
        <v>556</v>
      </c>
      <c r="Q271" s="333"/>
      <c r="R271" s="316" t="s">
        <v>556</v>
      </c>
      <c r="S271" s="333"/>
      <c r="T271" s="316" t="s">
        <v>556</v>
      </c>
      <c r="U271" s="346"/>
      <c r="V271" s="316" t="s">
        <v>556</v>
      </c>
      <c r="W271" s="346"/>
      <c r="X271" s="316" t="s">
        <v>556</v>
      </c>
      <c r="Y271" s="346"/>
      <c r="Z271" s="316" t="s">
        <v>556</v>
      </c>
      <c r="AA271" s="351"/>
      <c r="AB271" s="127"/>
      <c r="AC271" s="241"/>
      <c r="AD271" s="163"/>
      <c r="AE271" s="156"/>
      <c r="AF271" s="157"/>
      <c r="AG271" s="272"/>
    </row>
    <row r="272" spans="1:33" s="32" customFormat="1" ht="49.5" x14ac:dyDescent="0.35">
      <c r="A272" s="270"/>
      <c r="B272" s="316"/>
      <c r="C272" s="316"/>
      <c r="D272" s="270"/>
      <c r="E272" s="143"/>
      <c r="F272" s="228"/>
      <c r="G272" s="228"/>
      <c r="H272" s="143"/>
      <c r="I272" s="136"/>
      <c r="J272" s="316"/>
      <c r="K272" s="158"/>
      <c r="L272" s="159"/>
      <c r="M272" s="226" t="s">
        <v>453</v>
      </c>
      <c r="N272" s="315" t="s">
        <v>578</v>
      </c>
      <c r="O272" s="316" t="s">
        <v>557</v>
      </c>
      <c r="P272" s="316" t="s">
        <v>557</v>
      </c>
      <c r="Q272" s="333"/>
      <c r="R272" s="316" t="s">
        <v>557</v>
      </c>
      <c r="S272" s="333"/>
      <c r="T272" s="316" t="s">
        <v>557</v>
      </c>
      <c r="U272" s="346"/>
      <c r="V272" s="316" t="s">
        <v>557</v>
      </c>
      <c r="W272" s="346"/>
      <c r="X272" s="316" t="s">
        <v>557</v>
      </c>
      <c r="Y272" s="346"/>
      <c r="Z272" s="316" t="s">
        <v>557</v>
      </c>
      <c r="AA272" s="351"/>
      <c r="AB272" s="127"/>
      <c r="AC272" s="241"/>
      <c r="AD272" s="163"/>
      <c r="AE272" s="156"/>
      <c r="AF272" s="157"/>
      <c r="AG272" s="272"/>
    </row>
    <row r="273" spans="1:33" s="32" customFormat="1" ht="49.5" x14ac:dyDescent="0.35">
      <c r="A273" s="270"/>
      <c r="B273" s="316"/>
      <c r="C273" s="316"/>
      <c r="D273" s="270"/>
      <c r="E273" s="143"/>
      <c r="F273" s="228"/>
      <c r="G273" s="228"/>
      <c r="H273" s="143"/>
      <c r="I273" s="136"/>
      <c r="J273" s="316"/>
      <c r="K273" s="158"/>
      <c r="L273" s="159"/>
      <c r="M273" s="226" t="s">
        <v>454</v>
      </c>
      <c r="N273" s="315" t="s">
        <v>579</v>
      </c>
      <c r="O273" s="316" t="s">
        <v>432</v>
      </c>
      <c r="P273" s="316" t="s">
        <v>432</v>
      </c>
      <c r="Q273" s="333"/>
      <c r="R273" s="316" t="s">
        <v>432</v>
      </c>
      <c r="S273" s="333"/>
      <c r="T273" s="316" t="s">
        <v>432</v>
      </c>
      <c r="U273" s="346"/>
      <c r="V273" s="316" t="s">
        <v>432</v>
      </c>
      <c r="W273" s="346"/>
      <c r="X273" s="316" t="s">
        <v>432</v>
      </c>
      <c r="Y273" s="346"/>
      <c r="Z273" s="316" t="s">
        <v>432</v>
      </c>
      <c r="AA273" s="351"/>
      <c r="AB273" s="127"/>
      <c r="AC273" s="241"/>
      <c r="AD273" s="163"/>
      <c r="AE273" s="156"/>
      <c r="AF273" s="157"/>
      <c r="AG273" s="272"/>
    </row>
    <row r="274" spans="1:33" s="32" customFormat="1" ht="49.5" x14ac:dyDescent="0.35">
      <c r="A274" s="270"/>
      <c r="B274" s="316"/>
      <c r="C274" s="316"/>
      <c r="D274" s="270"/>
      <c r="E274" s="143"/>
      <c r="F274" s="228"/>
      <c r="G274" s="228"/>
      <c r="H274" s="143"/>
      <c r="I274" s="136"/>
      <c r="J274" s="316"/>
      <c r="K274" s="158"/>
      <c r="L274" s="159"/>
      <c r="M274" s="226" t="s">
        <v>521</v>
      </c>
      <c r="N274" s="315" t="s">
        <v>580</v>
      </c>
      <c r="O274" s="316" t="s">
        <v>432</v>
      </c>
      <c r="P274" s="316" t="s">
        <v>432</v>
      </c>
      <c r="Q274" s="333"/>
      <c r="R274" s="316" t="s">
        <v>432</v>
      </c>
      <c r="S274" s="333"/>
      <c r="T274" s="316" t="s">
        <v>432</v>
      </c>
      <c r="U274" s="346"/>
      <c r="V274" s="316" t="s">
        <v>432</v>
      </c>
      <c r="W274" s="346"/>
      <c r="X274" s="316" t="s">
        <v>432</v>
      </c>
      <c r="Y274" s="346"/>
      <c r="Z274" s="316" t="s">
        <v>432</v>
      </c>
      <c r="AA274" s="351"/>
      <c r="AB274" s="127"/>
      <c r="AC274" s="241"/>
      <c r="AD274" s="163"/>
      <c r="AE274" s="156"/>
      <c r="AF274" s="157"/>
      <c r="AG274" s="272"/>
    </row>
    <row r="275" spans="1:33" s="32" customFormat="1" ht="49.5" x14ac:dyDescent="0.35">
      <c r="A275" s="270"/>
      <c r="B275" s="316"/>
      <c r="C275" s="316"/>
      <c r="D275" s="270"/>
      <c r="E275" s="143"/>
      <c r="F275" s="228"/>
      <c r="G275" s="228"/>
      <c r="H275" s="143"/>
      <c r="I275" s="136"/>
      <c r="J275" s="316"/>
      <c r="K275" s="158"/>
      <c r="L275" s="159"/>
      <c r="M275" s="226" t="s">
        <v>522</v>
      </c>
      <c r="N275" s="315" t="s">
        <v>578</v>
      </c>
      <c r="O275" s="316" t="s">
        <v>432</v>
      </c>
      <c r="P275" s="316" t="s">
        <v>432</v>
      </c>
      <c r="Q275" s="333"/>
      <c r="R275" s="316" t="s">
        <v>432</v>
      </c>
      <c r="S275" s="333"/>
      <c r="T275" s="316" t="s">
        <v>432</v>
      </c>
      <c r="U275" s="346"/>
      <c r="V275" s="316" t="s">
        <v>432</v>
      </c>
      <c r="W275" s="346"/>
      <c r="X275" s="316" t="s">
        <v>432</v>
      </c>
      <c r="Y275" s="346"/>
      <c r="Z275" s="316" t="s">
        <v>432</v>
      </c>
      <c r="AA275" s="351"/>
      <c r="AB275" s="127"/>
      <c r="AC275" s="241"/>
      <c r="AD275" s="163"/>
      <c r="AE275" s="156"/>
      <c r="AF275" s="157"/>
      <c r="AG275" s="272"/>
    </row>
    <row r="276" spans="1:33" s="32" customFormat="1" ht="49.5" x14ac:dyDescent="0.35">
      <c r="A276" s="270"/>
      <c r="B276" s="316"/>
      <c r="C276" s="316"/>
      <c r="D276" s="270"/>
      <c r="E276" s="143"/>
      <c r="F276" s="228"/>
      <c r="G276" s="228"/>
      <c r="H276" s="143"/>
      <c r="I276" s="136"/>
      <c r="J276" s="316"/>
      <c r="K276" s="158"/>
      <c r="L276" s="159"/>
      <c r="M276" s="226" t="s">
        <v>523</v>
      </c>
      <c r="N276" s="315" t="s">
        <v>581</v>
      </c>
      <c r="O276" s="316" t="s">
        <v>562</v>
      </c>
      <c r="P276" s="316" t="s">
        <v>562</v>
      </c>
      <c r="Q276" s="333"/>
      <c r="R276" s="316" t="s">
        <v>562</v>
      </c>
      <c r="S276" s="333"/>
      <c r="T276" s="316" t="s">
        <v>562</v>
      </c>
      <c r="U276" s="346"/>
      <c r="V276" s="316" t="s">
        <v>562</v>
      </c>
      <c r="W276" s="346"/>
      <c r="X276" s="316" t="s">
        <v>562</v>
      </c>
      <c r="Y276" s="346"/>
      <c r="Z276" s="316" t="s">
        <v>562</v>
      </c>
      <c r="AA276" s="351"/>
      <c r="AB276" s="127"/>
      <c r="AC276" s="241"/>
      <c r="AD276" s="163"/>
      <c r="AE276" s="156"/>
      <c r="AF276" s="157"/>
      <c r="AG276" s="272"/>
    </row>
    <row r="277" spans="1:33" s="32" customFormat="1" ht="33.75" x14ac:dyDescent="0.35">
      <c r="A277" s="270"/>
      <c r="B277" s="316"/>
      <c r="C277" s="316"/>
      <c r="D277" s="270"/>
      <c r="E277" s="143"/>
      <c r="F277" s="228"/>
      <c r="G277" s="228"/>
      <c r="H277" s="143"/>
      <c r="I277" s="136"/>
      <c r="J277" s="316"/>
      <c r="K277" s="137" t="s">
        <v>295</v>
      </c>
      <c r="L277" s="314" t="s">
        <v>291</v>
      </c>
      <c r="M277" s="507" t="s">
        <v>500</v>
      </c>
      <c r="N277" s="508"/>
      <c r="O277" s="137"/>
      <c r="P277" s="137"/>
      <c r="Q277" s="333"/>
      <c r="R277" s="137"/>
      <c r="S277" s="333"/>
      <c r="T277" s="137"/>
      <c r="U277" s="346"/>
      <c r="V277" s="137"/>
      <c r="W277" s="346"/>
      <c r="X277" s="137"/>
      <c r="Y277" s="346"/>
      <c r="Z277" s="137"/>
      <c r="AA277" s="351"/>
      <c r="AB277" s="127"/>
      <c r="AC277" s="241"/>
      <c r="AD277" s="163"/>
      <c r="AE277" s="156"/>
      <c r="AF277" s="157"/>
      <c r="AG277" s="272"/>
    </row>
    <row r="278" spans="1:33" s="32" customFormat="1" ht="33" x14ac:dyDescent="0.35">
      <c r="A278" s="270"/>
      <c r="B278" s="179"/>
      <c r="C278" s="179"/>
      <c r="D278" s="284"/>
      <c r="E278" s="180"/>
      <c r="F278" s="238"/>
      <c r="G278" s="238"/>
      <c r="H278" s="180"/>
      <c r="I278" s="181"/>
      <c r="J278" s="179"/>
      <c r="K278" s="183" t="s">
        <v>297</v>
      </c>
      <c r="L278" s="182" t="s">
        <v>291</v>
      </c>
      <c r="M278" s="198" t="s">
        <v>501</v>
      </c>
      <c r="N278" s="227"/>
      <c r="O278" s="183"/>
      <c r="P278" s="183"/>
      <c r="Q278" s="341"/>
      <c r="R278" s="183"/>
      <c r="S278" s="341"/>
      <c r="T278" s="183"/>
      <c r="U278" s="353"/>
      <c r="V278" s="183"/>
      <c r="W278" s="353"/>
      <c r="X278" s="183"/>
      <c r="Y278" s="353"/>
      <c r="Z278" s="183"/>
      <c r="AA278" s="356"/>
      <c r="AB278" s="232"/>
      <c r="AC278" s="242"/>
      <c r="AD278" s="200"/>
      <c r="AE278" s="188"/>
      <c r="AF278" s="189"/>
      <c r="AG278" s="285"/>
    </row>
    <row r="279" spans="1:33" s="32" customFormat="1" ht="18" x14ac:dyDescent="0.35">
      <c r="A279" s="270"/>
      <c r="B279" s="316"/>
      <c r="C279" s="316"/>
      <c r="D279" s="270"/>
      <c r="E279" s="143"/>
      <c r="F279" s="228"/>
      <c r="G279" s="228"/>
      <c r="H279" s="143"/>
      <c r="I279" s="136"/>
      <c r="J279" s="316"/>
      <c r="K279" s="324"/>
      <c r="L279" s="325"/>
      <c r="M279" s="325"/>
      <c r="N279" s="319"/>
      <c r="O279" s="316"/>
      <c r="P279" s="316"/>
      <c r="Q279" s="333"/>
      <c r="R279" s="316"/>
      <c r="S279" s="333"/>
      <c r="T279" s="316"/>
      <c r="U279" s="346"/>
      <c r="V279" s="316"/>
      <c r="W279" s="346"/>
      <c r="X279" s="316"/>
      <c r="Y279" s="346"/>
      <c r="Z279" s="316"/>
      <c r="AA279" s="351"/>
      <c r="AB279" s="127"/>
      <c r="AC279" s="241"/>
      <c r="AD279" s="163"/>
      <c r="AE279" s="156"/>
      <c r="AF279" s="157"/>
      <c r="AG279" s="272"/>
    </row>
    <row r="280" spans="1:33" s="110" customFormat="1" ht="198" x14ac:dyDescent="0.35">
      <c r="A280" s="279"/>
      <c r="B280" s="127" t="s">
        <v>1059</v>
      </c>
      <c r="C280" s="127" t="s">
        <v>286</v>
      </c>
      <c r="D280" s="127" t="s">
        <v>1062</v>
      </c>
      <c r="E280" s="128">
        <v>1</v>
      </c>
      <c r="F280" s="235" t="s">
        <v>131</v>
      </c>
      <c r="G280" s="235" t="s">
        <v>131</v>
      </c>
      <c r="H280" s="128">
        <v>11</v>
      </c>
      <c r="I280" s="128"/>
      <c r="J280" s="127" t="s">
        <v>153</v>
      </c>
      <c r="K280" s="516" t="s">
        <v>582</v>
      </c>
      <c r="L280" s="517"/>
      <c r="M280" s="517"/>
      <c r="N280" s="518"/>
      <c r="O280" s="244">
        <f>19/474*100</f>
        <v>4.0084388185654012</v>
      </c>
      <c r="P280" s="243" t="s">
        <v>1028</v>
      </c>
      <c r="Q280" s="333">
        <f>SUM(Q282:Q419)</f>
        <v>14825924000</v>
      </c>
      <c r="R280" s="243" t="s">
        <v>1029</v>
      </c>
      <c r="S280" s="333">
        <f>SUM(S282:S419)</f>
        <v>15880846000</v>
      </c>
      <c r="T280" s="243" t="s">
        <v>1038</v>
      </c>
      <c r="U280" s="333">
        <f>SUM(U282:U419)</f>
        <v>20506415385</v>
      </c>
      <c r="V280" s="243" t="s">
        <v>1039</v>
      </c>
      <c r="W280" s="333">
        <f>SUM(W282:W419)</f>
        <v>22541511672.5</v>
      </c>
      <c r="X280" s="243" t="s">
        <v>1040</v>
      </c>
      <c r="Y280" s="333">
        <f>SUM(Y282:Y419)</f>
        <v>27017168982.75</v>
      </c>
      <c r="Z280" s="243" t="s">
        <v>1040</v>
      </c>
      <c r="AA280" s="351">
        <f>Y280+W280+U280+S280+Q280</f>
        <v>100771866040.25</v>
      </c>
      <c r="AB280" s="127" t="s">
        <v>66</v>
      </c>
      <c r="AC280" s="224"/>
      <c r="AD280" s="224"/>
      <c r="AE280" s="203"/>
      <c r="AF280" s="204"/>
      <c r="AG280" s="316" t="s">
        <v>154</v>
      </c>
    </row>
    <row r="281" spans="1:33" s="110" customFormat="1" ht="18" x14ac:dyDescent="0.35">
      <c r="A281" s="279"/>
      <c r="B281" s="127"/>
      <c r="C281" s="127"/>
      <c r="D281" s="127"/>
      <c r="E281" s="128"/>
      <c r="F281" s="235"/>
      <c r="G281" s="235"/>
      <c r="H281" s="128"/>
      <c r="I281" s="128"/>
      <c r="J281" s="127"/>
      <c r="K281" s="516"/>
      <c r="L281" s="517"/>
      <c r="M281" s="517"/>
      <c r="N281" s="518"/>
      <c r="O281" s="244"/>
      <c r="P281" s="244"/>
      <c r="Q281" s="333"/>
      <c r="R281" s="244"/>
      <c r="S281" s="333"/>
      <c r="T281" s="244"/>
      <c r="U281" s="346"/>
      <c r="V281" s="244"/>
      <c r="W281" s="346"/>
      <c r="X281" s="244"/>
      <c r="Y281" s="346"/>
      <c r="Z281" s="244"/>
      <c r="AA281" s="351"/>
      <c r="AB281" s="127"/>
      <c r="AC281" s="224"/>
      <c r="AD281" s="224"/>
      <c r="AE281" s="203"/>
      <c r="AF281" s="204"/>
      <c r="AG281" s="281"/>
    </row>
    <row r="282" spans="1:33" ht="18" x14ac:dyDescent="0.3">
      <c r="B282" s="316"/>
      <c r="C282" s="316"/>
      <c r="E282" s="128"/>
      <c r="F282" s="128"/>
      <c r="G282" s="128"/>
      <c r="H282" s="128"/>
      <c r="I282" s="128"/>
      <c r="J282" s="127" t="s">
        <v>63</v>
      </c>
      <c r="K282" s="158"/>
      <c r="L282" s="159"/>
      <c r="M282" s="159"/>
      <c r="N282" s="315"/>
      <c r="O282" s="316"/>
      <c r="P282" s="316"/>
      <c r="Q282" s="338"/>
      <c r="R282" s="316"/>
      <c r="S282" s="338"/>
      <c r="T282" s="316"/>
      <c r="U282" s="177"/>
      <c r="V282" s="316"/>
      <c r="W282" s="177"/>
      <c r="X282" s="316"/>
      <c r="Y282" s="177"/>
      <c r="Z282" s="316"/>
      <c r="AA282" s="178"/>
      <c r="AB282" s="316"/>
      <c r="AC282" s="155"/>
      <c r="AD282" s="155"/>
      <c r="AE282" s="156"/>
      <c r="AF282" s="157"/>
      <c r="AG282" s="297"/>
    </row>
    <row r="283" spans="1:33" ht="33" x14ac:dyDescent="0.3">
      <c r="B283" s="316"/>
      <c r="C283" s="316"/>
      <c r="E283" s="143">
        <v>1</v>
      </c>
      <c r="F283" s="228" t="s">
        <v>131</v>
      </c>
      <c r="G283" s="228" t="s">
        <v>131</v>
      </c>
      <c r="H283" s="143">
        <v>11</v>
      </c>
      <c r="I283" s="136">
        <v>1</v>
      </c>
      <c r="J283" s="316" t="s">
        <v>383</v>
      </c>
      <c r="K283" s="158" t="s">
        <v>290</v>
      </c>
      <c r="L283" s="159" t="s">
        <v>291</v>
      </c>
      <c r="M283" s="514" t="s">
        <v>312</v>
      </c>
      <c r="N283" s="515"/>
      <c r="O283" s="316" t="s">
        <v>301</v>
      </c>
      <c r="P283" s="316" t="s">
        <v>301</v>
      </c>
      <c r="Q283" s="338">
        <v>8548418000</v>
      </c>
      <c r="R283" s="316" t="s">
        <v>301</v>
      </c>
      <c r="S283" s="334">
        <f>Q283+(Q283*8.4%)+2989338+1550</f>
        <v>9269476000</v>
      </c>
      <c r="T283" s="316" t="s">
        <v>301</v>
      </c>
      <c r="U283" s="334">
        <f>S283+(S283*10%)+3037486785</f>
        <v>13233910385</v>
      </c>
      <c r="V283" s="316" t="s">
        <v>301</v>
      </c>
      <c r="W283" s="334">
        <f>U283+(U283*10%)-15543751</f>
        <v>14541757672.5</v>
      </c>
      <c r="X283" s="316" t="s">
        <v>301</v>
      </c>
      <c r="Y283" s="334">
        <f>W283+(W283*10%)+2221508543</f>
        <v>18217441982.75</v>
      </c>
      <c r="Z283" s="316" t="s">
        <v>301</v>
      </c>
      <c r="AA283" s="178">
        <f>Y283+W283+U283+S283+Q283</f>
        <v>63811004040.25</v>
      </c>
      <c r="AB283" s="316" t="s">
        <v>66</v>
      </c>
      <c r="AC283" s="155"/>
      <c r="AD283" s="155"/>
      <c r="AE283" s="156"/>
      <c r="AF283" s="157"/>
      <c r="AG283" s="316" t="s">
        <v>156</v>
      </c>
    </row>
    <row r="284" spans="1:33" ht="409.5" x14ac:dyDescent="0.3">
      <c r="B284" s="316"/>
      <c r="C284" s="316"/>
      <c r="E284" s="143"/>
      <c r="F284" s="228"/>
      <c r="G284" s="228"/>
      <c r="H284" s="143"/>
      <c r="I284" s="136"/>
      <c r="J284" s="316"/>
      <c r="K284" s="158" t="s">
        <v>293</v>
      </c>
      <c r="L284" s="159" t="s">
        <v>291</v>
      </c>
      <c r="M284" s="160" t="s">
        <v>299</v>
      </c>
      <c r="N284" s="315" t="s">
        <v>1013</v>
      </c>
      <c r="O284" s="316" t="s">
        <v>1014</v>
      </c>
      <c r="P284" s="316" t="s">
        <v>1014</v>
      </c>
      <c r="Q284" s="338"/>
      <c r="R284" s="316" t="s">
        <v>1014</v>
      </c>
      <c r="S284" s="338"/>
      <c r="T284" s="316" t="s">
        <v>1014</v>
      </c>
      <c r="U284" s="177"/>
      <c r="V284" s="316" t="s">
        <v>1014</v>
      </c>
      <c r="W284" s="177"/>
      <c r="X284" s="316" t="s">
        <v>1014</v>
      </c>
      <c r="Y284" s="177"/>
      <c r="Z284" s="316" t="s">
        <v>1014</v>
      </c>
      <c r="AA284" s="178"/>
      <c r="AB284" s="316"/>
      <c r="AC284" s="155"/>
      <c r="AD284" s="155"/>
      <c r="AE284" s="156"/>
      <c r="AF284" s="157"/>
      <c r="AG284" s="297"/>
    </row>
    <row r="285" spans="1:33" ht="165" x14ac:dyDescent="0.3">
      <c r="B285" s="316"/>
      <c r="C285" s="316"/>
      <c r="E285" s="143"/>
      <c r="F285" s="228"/>
      <c r="G285" s="228"/>
      <c r="H285" s="143"/>
      <c r="I285" s="136"/>
      <c r="J285" s="316"/>
      <c r="K285" s="158"/>
      <c r="L285" s="159"/>
      <c r="M285" s="160" t="s">
        <v>303</v>
      </c>
      <c r="N285" s="205" t="s">
        <v>1015</v>
      </c>
      <c r="O285" s="206" t="s">
        <v>583</v>
      </c>
      <c r="P285" s="206" t="s">
        <v>583</v>
      </c>
      <c r="Q285" s="338"/>
      <c r="R285" s="206" t="s">
        <v>583</v>
      </c>
      <c r="S285" s="338"/>
      <c r="T285" s="206" t="s">
        <v>583</v>
      </c>
      <c r="U285" s="177"/>
      <c r="V285" s="206" t="s">
        <v>583</v>
      </c>
      <c r="W285" s="177"/>
      <c r="X285" s="206" t="s">
        <v>583</v>
      </c>
      <c r="Y285" s="177"/>
      <c r="Z285" s="206" t="s">
        <v>583</v>
      </c>
      <c r="AA285" s="178"/>
      <c r="AB285" s="316"/>
      <c r="AC285" s="155"/>
      <c r="AD285" s="155"/>
      <c r="AE285" s="156"/>
      <c r="AF285" s="157"/>
      <c r="AG285" s="297"/>
    </row>
    <row r="286" spans="1:33" ht="132" x14ac:dyDescent="0.3">
      <c r="B286" s="316"/>
      <c r="C286" s="316"/>
      <c r="E286" s="143"/>
      <c r="F286" s="228"/>
      <c r="G286" s="228"/>
      <c r="H286" s="143"/>
      <c r="I286" s="136"/>
      <c r="J286" s="316"/>
      <c r="K286" s="158"/>
      <c r="L286" s="159"/>
      <c r="M286" s="160" t="s">
        <v>318</v>
      </c>
      <c r="N286" s="205" t="s">
        <v>1016</v>
      </c>
      <c r="O286" s="206" t="s">
        <v>584</v>
      </c>
      <c r="P286" s="206" t="s">
        <v>584</v>
      </c>
      <c r="Q286" s="338"/>
      <c r="R286" s="206" t="s">
        <v>584</v>
      </c>
      <c r="S286" s="338"/>
      <c r="T286" s="206" t="s">
        <v>584</v>
      </c>
      <c r="U286" s="177"/>
      <c r="V286" s="206" t="s">
        <v>584</v>
      </c>
      <c r="W286" s="177"/>
      <c r="X286" s="206" t="s">
        <v>584</v>
      </c>
      <c r="Y286" s="177"/>
      <c r="Z286" s="206" t="s">
        <v>584</v>
      </c>
      <c r="AA286" s="178"/>
      <c r="AB286" s="316"/>
      <c r="AC286" s="155"/>
      <c r="AD286" s="155"/>
      <c r="AE286" s="156"/>
      <c r="AF286" s="157"/>
      <c r="AG286" s="297"/>
    </row>
    <row r="287" spans="1:33" ht="409.5" x14ac:dyDescent="0.3">
      <c r="B287" s="316"/>
      <c r="C287" s="316"/>
      <c r="E287" s="143"/>
      <c r="F287" s="228"/>
      <c r="G287" s="228"/>
      <c r="H287" s="143"/>
      <c r="I287" s="136"/>
      <c r="J287" s="316"/>
      <c r="K287" s="158"/>
      <c r="L287" s="159"/>
      <c r="M287" s="160" t="s">
        <v>331</v>
      </c>
      <c r="N287" s="205" t="s">
        <v>1017</v>
      </c>
      <c r="O287" s="206" t="s">
        <v>585</v>
      </c>
      <c r="P287" s="206" t="s">
        <v>585</v>
      </c>
      <c r="Q287" s="338"/>
      <c r="R287" s="206" t="s">
        <v>585</v>
      </c>
      <c r="S287" s="338"/>
      <c r="T287" s="206" t="s">
        <v>585</v>
      </c>
      <c r="U287" s="177"/>
      <c r="V287" s="206" t="s">
        <v>585</v>
      </c>
      <c r="W287" s="177"/>
      <c r="X287" s="206" t="s">
        <v>585</v>
      </c>
      <c r="Y287" s="177"/>
      <c r="Z287" s="206" t="s">
        <v>585</v>
      </c>
      <c r="AA287" s="178"/>
      <c r="AB287" s="316"/>
      <c r="AC287" s="155"/>
      <c r="AD287" s="155"/>
      <c r="AE287" s="156"/>
      <c r="AF287" s="157"/>
      <c r="AG287" s="297"/>
    </row>
    <row r="288" spans="1:33" ht="49.5" x14ac:dyDescent="0.3">
      <c r="B288" s="316"/>
      <c r="C288" s="316"/>
      <c r="E288" s="143"/>
      <c r="F288" s="228"/>
      <c r="G288" s="228"/>
      <c r="H288" s="143"/>
      <c r="I288" s="136"/>
      <c r="J288" s="316"/>
      <c r="K288" s="158"/>
      <c r="L288" s="159"/>
      <c r="M288" s="160" t="s">
        <v>353</v>
      </c>
      <c r="N288" s="205" t="s">
        <v>586</v>
      </c>
      <c r="O288" s="206" t="s">
        <v>587</v>
      </c>
      <c r="P288" s="206" t="s">
        <v>587</v>
      </c>
      <c r="Q288" s="338"/>
      <c r="R288" s="206" t="s">
        <v>587</v>
      </c>
      <c r="S288" s="338"/>
      <c r="T288" s="206" t="s">
        <v>587</v>
      </c>
      <c r="U288" s="177"/>
      <c r="V288" s="206" t="s">
        <v>587</v>
      </c>
      <c r="W288" s="177"/>
      <c r="X288" s="206" t="s">
        <v>587</v>
      </c>
      <c r="Y288" s="177"/>
      <c r="Z288" s="206" t="s">
        <v>587</v>
      </c>
      <c r="AA288" s="178"/>
      <c r="AB288" s="316"/>
      <c r="AC288" s="155"/>
      <c r="AD288" s="155"/>
      <c r="AE288" s="156"/>
      <c r="AF288" s="157"/>
      <c r="AG288" s="297"/>
    </row>
    <row r="289" spans="1:33" ht="66" x14ac:dyDescent="0.3">
      <c r="B289" s="316"/>
      <c r="C289" s="316"/>
      <c r="E289" s="143"/>
      <c r="F289" s="228"/>
      <c r="G289" s="228"/>
      <c r="H289" s="143"/>
      <c r="I289" s="136"/>
      <c r="J289" s="316"/>
      <c r="K289" s="158"/>
      <c r="L289" s="159"/>
      <c r="M289" s="160" t="s">
        <v>352</v>
      </c>
      <c r="N289" s="205" t="s">
        <v>588</v>
      </c>
      <c r="O289" s="206" t="s">
        <v>589</v>
      </c>
      <c r="P289" s="206" t="s">
        <v>589</v>
      </c>
      <c r="Q289" s="338"/>
      <c r="R289" s="206" t="s">
        <v>589</v>
      </c>
      <c r="S289" s="338"/>
      <c r="T289" s="206" t="s">
        <v>589</v>
      </c>
      <c r="U289" s="177"/>
      <c r="V289" s="206" t="s">
        <v>589</v>
      </c>
      <c r="W289" s="177"/>
      <c r="X289" s="206" t="s">
        <v>589</v>
      </c>
      <c r="Y289" s="177"/>
      <c r="Z289" s="206" t="s">
        <v>589</v>
      </c>
      <c r="AA289" s="178"/>
      <c r="AB289" s="316"/>
      <c r="AC289" s="155"/>
      <c r="AD289" s="155"/>
      <c r="AE289" s="156"/>
      <c r="AF289" s="157"/>
      <c r="AG289" s="297"/>
    </row>
    <row r="290" spans="1:33" ht="49.5" x14ac:dyDescent="0.3">
      <c r="B290" s="316"/>
      <c r="C290" s="316"/>
      <c r="E290" s="143"/>
      <c r="F290" s="228"/>
      <c r="G290" s="228"/>
      <c r="H290" s="143"/>
      <c r="I290" s="136"/>
      <c r="J290" s="316"/>
      <c r="K290" s="137"/>
      <c r="L290" s="314"/>
      <c r="M290" s="226" t="s">
        <v>402</v>
      </c>
      <c r="N290" s="205" t="s">
        <v>590</v>
      </c>
      <c r="O290" s="206" t="s">
        <v>591</v>
      </c>
      <c r="P290" s="206" t="s">
        <v>591</v>
      </c>
      <c r="Q290" s="338"/>
      <c r="R290" s="206" t="s">
        <v>591</v>
      </c>
      <c r="S290" s="338"/>
      <c r="T290" s="206" t="s">
        <v>591</v>
      </c>
      <c r="U290" s="177"/>
      <c r="V290" s="206" t="s">
        <v>591</v>
      </c>
      <c r="W290" s="177"/>
      <c r="X290" s="206" t="s">
        <v>591</v>
      </c>
      <c r="Y290" s="177"/>
      <c r="Z290" s="206" t="s">
        <v>591</v>
      </c>
      <c r="AA290" s="178"/>
      <c r="AB290" s="316"/>
      <c r="AC290" s="155"/>
      <c r="AD290" s="155"/>
      <c r="AE290" s="156"/>
      <c r="AF290" s="157"/>
      <c r="AG290" s="297"/>
    </row>
    <row r="291" spans="1:33" ht="49.5" x14ac:dyDescent="0.3">
      <c r="B291" s="316"/>
      <c r="C291" s="316"/>
      <c r="E291" s="143"/>
      <c r="F291" s="228"/>
      <c r="G291" s="228"/>
      <c r="H291" s="143"/>
      <c r="I291" s="136"/>
      <c r="J291" s="316"/>
      <c r="K291" s="137"/>
      <c r="L291" s="314"/>
      <c r="M291" s="226" t="s">
        <v>453</v>
      </c>
      <c r="N291" s="205" t="s">
        <v>592</v>
      </c>
      <c r="O291" s="206" t="s">
        <v>593</v>
      </c>
      <c r="P291" s="206" t="s">
        <v>593</v>
      </c>
      <c r="Q291" s="338"/>
      <c r="R291" s="206" t="s">
        <v>593</v>
      </c>
      <c r="S291" s="338"/>
      <c r="T291" s="206" t="s">
        <v>593</v>
      </c>
      <c r="U291" s="177"/>
      <c r="V291" s="206" t="s">
        <v>593</v>
      </c>
      <c r="W291" s="177"/>
      <c r="X291" s="206" t="s">
        <v>593</v>
      </c>
      <c r="Y291" s="177"/>
      <c r="Z291" s="206" t="s">
        <v>593</v>
      </c>
      <c r="AA291" s="178"/>
      <c r="AB291" s="316"/>
      <c r="AC291" s="155"/>
      <c r="AD291" s="155"/>
      <c r="AE291" s="156"/>
      <c r="AF291" s="157"/>
      <c r="AG291" s="297"/>
    </row>
    <row r="292" spans="1:33" ht="409.5" x14ac:dyDescent="0.3">
      <c r="B292" s="316"/>
      <c r="C292" s="316"/>
      <c r="E292" s="143"/>
      <c r="F292" s="228"/>
      <c r="G292" s="228"/>
      <c r="H292" s="143"/>
      <c r="I292" s="136"/>
      <c r="J292" s="316"/>
      <c r="K292" s="137"/>
      <c r="L292" s="314"/>
      <c r="M292" s="226" t="s">
        <v>454</v>
      </c>
      <c r="N292" s="205" t="s">
        <v>1018</v>
      </c>
      <c r="O292" s="206" t="s">
        <v>594</v>
      </c>
      <c r="P292" s="206" t="s">
        <v>594</v>
      </c>
      <c r="Q292" s="338"/>
      <c r="R292" s="206" t="s">
        <v>594</v>
      </c>
      <c r="S292" s="338"/>
      <c r="T292" s="206" t="s">
        <v>594</v>
      </c>
      <c r="U292" s="177"/>
      <c r="V292" s="206" t="s">
        <v>594</v>
      </c>
      <c r="W292" s="177"/>
      <c r="X292" s="206" t="s">
        <v>594</v>
      </c>
      <c r="Y292" s="177"/>
      <c r="Z292" s="206" t="s">
        <v>594</v>
      </c>
      <c r="AA292" s="178"/>
      <c r="AB292" s="316"/>
      <c r="AC292" s="155"/>
      <c r="AD292" s="155"/>
      <c r="AE292" s="156"/>
      <c r="AF292" s="157"/>
      <c r="AG292" s="297"/>
    </row>
    <row r="293" spans="1:33" ht="99" x14ac:dyDescent="0.3">
      <c r="B293" s="316"/>
      <c r="C293" s="316"/>
      <c r="E293" s="143"/>
      <c r="F293" s="228"/>
      <c r="G293" s="228"/>
      <c r="H293" s="143"/>
      <c r="I293" s="136"/>
      <c r="J293" s="316"/>
      <c r="K293" s="137"/>
      <c r="L293" s="314"/>
      <c r="M293" s="226" t="s">
        <v>521</v>
      </c>
      <c r="N293" s="205" t="s">
        <v>595</v>
      </c>
      <c r="O293" s="206" t="s">
        <v>596</v>
      </c>
      <c r="P293" s="206" t="s">
        <v>596</v>
      </c>
      <c r="Q293" s="338"/>
      <c r="R293" s="206" t="s">
        <v>596</v>
      </c>
      <c r="S293" s="338"/>
      <c r="T293" s="206" t="s">
        <v>596</v>
      </c>
      <c r="U293" s="177"/>
      <c r="V293" s="206" t="s">
        <v>596</v>
      </c>
      <c r="W293" s="177"/>
      <c r="X293" s="206" t="s">
        <v>596</v>
      </c>
      <c r="Y293" s="177"/>
      <c r="Z293" s="206" t="s">
        <v>596</v>
      </c>
      <c r="AA293" s="178"/>
      <c r="AB293" s="316"/>
      <c r="AC293" s="155"/>
      <c r="AD293" s="155"/>
      <c r="AE293" s="156"/>
      <c r="AF293" s="157"/>
      <c r="AG293" s="297"/>
    </row>
    <row r="294" spans="1:33" ht="66" x14ac:dyDescent="0.3">
      <c r="B294" s="316"/>
      <c r="C294" s="316"/>
      <c r="E294" s="143"/>
      <c r="F294" s="228"/>
      <c r="G294" s="228"/>
      <c r="H294" s="143"/>
      <c r="I294" s="136"/>
      <c r="J294" s="316"/>
      <c r="K294" s="137"/>
      <c r="L294" s="314"/>
      <c r="M294" s="226" t="s">
        <v>522</v>
      </c>
      <c r="N294" s="205" t="s">
        <v>597</v>
      </c>
      <c r="O294" s="206" t="s">
        <v>598</v>
      </c>
      <c r="P294" s="206" t="s">
        <v>598</v>
      </c>
      <c r="Q294" s="338"/>
      <c r="R294" s="206" t="s">
        <v>598</v>
      </c>
      <c r="S294" s="338"/>
      <c r="T294" s="206" t="s">
        <v>598</v>
      </c>
      <c r="U294" s="177"/>
      <c r="V294" s="206" t="s">
        <v>598</v>
      </c>
      <c r="W294" s="177"/>
      <c r="X294" s="206" t="s">
        <v>598</v>
      </c>
      <c r="Y294" s="177"/>
      <c r="Z294" s="206" t="s">
        <v>598</v>
      </c>
      <c r="AA294" s="178"/>
      <c r="AB294" s="316"/>
      <c r="AC294" s="155"/>
      <c r="AD294" s="155"/>
      <c r="AE294" s="156"/>
      <c r="AF294" s="157"/>
      <c r="AG294" s="297"/>
    </row>
    <row r="295" spans="1:33" ht="82.5" x14ac:dyDescent="0.3">
      <c r="B295" s="316"/>
      <c r="C295" s="316"/>
      <c r="E295" s="143"/>
      <c r="F295" s="228"/>
      <c r="G295" s="228"/>
      <c r="H295" s="143"/>
      <c r="I295" s="136"/>
      <c r="J295" s="316"/>
      <c r="K295" s="137"/>
      <c r="L295" s="314"/>
      <c r="M295" s="226" t="s">
        <v>523</v>
      </c>
      <c r="N295" s="205" t="s">
        <v>599</v>
      </c>
      <c r="O295" s="206" t="s">
        <v>600</v>
      </c>
      <c r="P295" s="206" t="s">
        <v>600</v>
      </c>
      <c r="Q295" s="338"/>
      <c r="R295" s="206" t="s">
        <v>600</v>
      </c>
      <c r="S295" s="338"/>
      <c r="T295" s="206" t="s">
        <v>600</v>
      </c>
      <c r="U295" s="177"/>
      <c r="V295" s="206" t="s">
        <v>600</v>
      </c>
      <c r="W295" s="177"/>
      <c r="X295" s="206" t="s">
        <v>600</v>
      </c>
      <c r="Y295" s="177"/>
      <c r="Z295" s="206" t="s">
        <v>600</v>
      </c>
      <c r="AA295" s="178"/>
      <c r="AB295" s="316"/>
      <c r="AC295" s="155"/>
      <c r="AD295" s="155"/>
      <c r="AE295" s="156"/>
      <c r="AF295" s="157"/>
      <c r="AG295" s="297"/>
    </row>
    <row r="296" spans="1:33" ht="33" x14ac:dyDescent="0.3">
      <c r="B296" s="316"/>
      <c r="C296" s="316"/>
      <c r="E296" s="143"/>
      <c r="F296" s="228"/>
      <c r="G296" s="228"/>
      <c r="H296" s="143"/>
      <c r="I296" s="136"/>
      <c r="J296" s="316"/>
      <c r="K296" s="137"/>
      <c r="L296" s="314"/>
      <c r="M296" s="226" t="s">
        <v>524</v>
      </c>
      <c r="N296" s="205" t="s">
        <v>519</v>
      </c>
      <c r="O296" s="206" t="s">
        <v>601</v>
      </c>
      <c r="P296" s="206" t="s">
        <v>601</v>
      </c>
      <c r="Q296" s="338"/>
      <c r="R296" s="206" t="s">
        <v>601</v>
      </c>
      <c r="S296" s="338"/>
      <c r="T296" s="206" t="s">
        <v>601</v>
      </c>
      <c r="U296" s="177"/>
      <c r="V296" s="206" t="s">
        <v>601</v>
      </c>
      <c r="W296" s="177"/>
      <c r="X296" s="206" t="s">
        <v>601</v>
      </c>
      <c r="Y296" s="177"/>
      <c r="Z296" s="206" t="s">
        <v>601</v>
      </c>
      <c r="AA296" s="178"/>
      <c r="AB296" s="316"/>
      <c r="AC296" s="155"/>
      <c r="AD296" s="155"/>
      <c r="AE296" s="156"/>
      <c r="AF296" s="157"/>
      <c r="AG296" s="297"/>
    </row>
    <row r="297" spans="1:33" ht="409.5" x14ac:dyDescent="0.3">
      <c r="B297" s="316"/>
      <c r="C297" s="316"/>
      <c r="E297" s="143"/>
      <c r="F297" s="228"/>
      <c r="G297" s="228"/>
      <c r="H297" s="143"/>
      <c r="I297" s="136"/>
      <c r="J297" s="316"/>
      <c r="K297" s="158" t="s">
        <v>294</v>
      </c>
      <c r="L297" s="159" t="s">
        <v>291</v>
      </c>
      <c r="M297" s="226" t="s">
        <v>299</v>
      </c>
      <c r="N297" s="315" t="s">
        <v>602</v>
      </c>
      <c r="O297" s="316" t="s">
        <v>1014</v>
      </c>
      <c r="P297" s="316" t="s">
        <v>1014</v>
      </c>
      <c r="Q297" s="338"/>
      <c r="R297" s="316" t="s">
        <v>1014</v>
      </c>
      <c r="S297" s="338"/>
      <c r="T297" s="316" t="s">
        <v>1014</v>
      </c>
      <c r="U297" s="177"/>
      <c r="V297" s="316" t="s">
        <v>1014</v>
      </c>
      <c r="W297" s="177"/>
      <c r="X297" s="316" t="s">
        <v>1014</v>
      </c>
      <c r="Y297" s="177"/>
      <c r="Z297" s="316" t="s">
        <v>1014</v>
      </c>
      <c r="AA297" s="178"/>
      <c r="AB297" s="316"/>
      <c r="AC297" s="155"/>
      <c r="AD297" s="155"/>
      <c r="AE297" s="156"/>
      <c r="AF297" s="157"/>
      <c r="AG297" s="297"/>
    </row>
    <row r="298" spans="1:33" ht="165" x14ac:dyDescent="0.3">
      <c r="B298" s="316"/>
      <c r="C298" s="316"/>
      <c r="E298" s="143"/>
      <c r="F298" s="228"/>
      <c r="G298" s="228"/>
      <c r="H298" s="143"/>
      <c r="I298" s="136"/>
      <c r="J298" s="316"/>
      <c r="K298" s="158"/>
      <c r="L298" s="159"/>
      <c r="M298" s="226" t="s">
        <v>303</v>
      </c>
      <c r="N298" s="315" t="s">
        <v>603</v>
      </c>
      <c r="O298" s="206" t="s">
        <v>583</v>
      </c>
      <c r="P298" s="206" t="s">
        <v>583</v>
      </c>
      <c r="Q298" s="338"/>
      <c r="R298" s="206" t="s">
        <v>583</v>
      </c>
      <c r="S298" s="338"/>
      <c r="T298" s="206" t="s">
        <v>583</v>
      </c>
      <c r="U298" s="177"/>
      <c r="V298" s="206" t="s">
        <v>583</v>
      </c>
      <c r="W298" s="177"/>
      <c r="X298" s="206" t="s">
        <v>583</v>
      </c>
      <c r="Y298" s="177"/>
      <c r="Z298" s="206" t="s">
        <v>583</v>
      </c>
      <c r="AA298" s="178"/>
      <c r="AB298" s="316"/>
      <c r="AC298" s="155"/>
      <c r="AD298" s="155"/>
      <c r="AE298" s="156"/>
      <c r="AF298" s="157"/>
      <c r="AG298" s="297"/>
    </row>
    <row r="299" spans="1:33" ht="132" x14ac:dyDescent="0.3">
      <c r="B299" s="316"/>
      <c r="C299" s="316"/>
      <c r="E299" s="143"/>
      <c r="F299" s="228"/>
      <c r="G299" s="228"/>
      <c r="H299" s="143"/>
      <c r="I299" s="136"/>
      <c r="J299" s="316"/>
      <c r="K299" s="158"/>
      <c r="L299" s="159"/>
      <c r="M299" s="226" t="s">
        <v>318</v>
      </c>
      <c r="N299" s="315" t="s">
        <v>604</v>
      </c>
      <c r="O299" s="206" t="s">
        <v>584</v>
      </c>
      <c r="P299" s="206" t="s">
        <v>584</v>
      </c>
      <c r="Q299" s="338"/>
      <c r="R299" s="206" t="s">
        <v>584</v>
      </c>
      <c r="S299" s="338"/>
      <c r="T299" s="206" t="s">
        <v>584</v>
      </c>
      <c r="U299" s="177"/>
      <c r="V299" s="206" t="s">
        <v>584</v>
      </c>
      <c r="W299" s="177"/>
      <c r="X299" s="206" t="s">
        <v>584</v>
      </c>
      <c r="Y299" s="177"/>
      <c r="Z299" s="206" t="s">
        <v>584</v>
      </c>
      <c r="AA299" s="178"/>
      <c r="AB299" s="316"/>
      <c r="AC299" s="155"/>
      <c r="AD299" s="155"/>
      <c r="AE299" s="156"/>
      <c r="AF299" s="157"/>
      <c r="AG299" s="297"/>
    </row>
    <row r="300" spans="1:33" ht="409.5" x14ac:dyDescent="0.3">
      <c r="B300" s="316"/>
      <c r="C300" s="316"/>
      <c r="E300" s="143"/>
      <c r="F300" s="228"/>
      <c r="G300" s="228"/>
      <c r="H300" s="143"/>
      <c r="I300" s="136"/>
      <c r="J300" s="316"/>
      <c r="K300" s="158"/>
      <c r="L300" s="159"/>
      <c r="M300" s="226" t="s">
        <v>331</v>
      </c>
      <c r="N300" s="315" t="s">
        <v>605</v>
      </c>
      <c r="O300" s="206" t="s">
        <v>585</v>
      </c>
      <c r="P300" s="206" t="s">
        <v>585</v>
      </c>
      <c r="Q300" s="338"/>
      <c r="R300" s="206" t="s">
        <v>585</v>
      </c>
      <c r="S300" s="338"/>
      <c r="T300" s="206" t="s">
        <v>585</v>
      </c>
      <c r="U300" s="177"/>
      <c r="V300" s="206" t="s">
        <v>585</v>
      </c>
      <c r="W300" s="177"/>
      <c r="X300" s="206" t="s">
        <v>585</v>
      </c>
      <c r="Y300" s="177"/>
      <c r="Z300" s="206" t="s">
        <v>585</v>
      </c>
      <c r="AA300" s="178"/>
      <c r="AB300" s="316"/>
      <c r="AC300" s="155"/>
      <c r="AD300" s="155"/>
      <c r="AE300" s="156"/>
      <c r="AF300" s="157"/>
      <c r="AG300" s="297"/>
    </row>
    <row r="301" spans="1:33" ht="49.5" x14ac:dyDescent="0.3">
      <c r="B301" s="316"/>
      <c r="C301" s="316"/>
      <c r="E301" s="143"/>
      <c r="F301" s="228"/>
      <c r="G301" s="228"/>
      <c r="H301" s="143"/>
      <c r="I301" s="136"/>
      <c r="J301" s="316"/>
      <c r="K301" s="158"/>
      <c r="L301" s="159"/>
      <c r="M301" s="226" t="s">
        <v>353</v>
      </c>
      <c r="N301" s="315" t="s">
        <v>606</v>
      </c>
      <c r="O301" s="206" t="s">
        <v>587</v>
      </c>
      <c r="P301" s="206" t="s">
        <v>587</v>
      </c>
      <c r="Q301" s="338"/>
      <c r="R301" s="206" t="s">
        <v>587</v>
      </c>
      <c r="S301" s="338"/>
      <c r="T301" s="206" t="s">
        <v>587</v>
      </c>
      <c r="U301" s="177"/>
      <c r="V301" s="206" t="s">
        <v>587</v>
      </c>
      <c r="W301" s="177"/>
      <c r="X301" s="206" t="s">
        <v>587</v>
      </c>
      <c r="Y301" s="177"/>
      <c r="Z301" s="206" t="s">
        <v>587</v>
      </c>
      <c r="AA301" s="178"/>
      <c r="AB301" s="316"/>
      <c r="AC301" s="155"/>
      <c r="AD301" s="155"/>
      <c r="AE301" s="156"/>
      <c r="AF301" s="157"/>
      <c r="AG301" s="297"/>
    </row>
    <row r="302" spans="1:33" ht="82.5" x14ac:dyDescent="0.3">
      <c r="B302" s="316"/>
      <c r="C302" s="316"/>
      <c r="E302" s="143"/>
      <c r="F302" s="228"/>
      <c r="G302" s="228"/>
      <c r="H302" s="143"/>
      <c r="I302" s="136"/>
      <c r="J302" s="316"/>
      <c r="K302" s="158"/>
      <c r="L302" s="159"/>
      <c r="M302" s="226" t="s">
        <v>352</v>
      </c>
      <c r="N302" s="315" t="s">
        <v>607</v>
      </c>
      <c r="O302" s="206" t="s">
        <v>589</v>
      </c>
      <c r="P302" s="206" t="s">
        <v>589</v>
      </c>
      <c r="Q302" s="338"/>
      <c r="R302" s="206" t="s">
        <v>589</v>
      </c>
      <c r="S302" s="338"/>
      <c r="T302" s="206" t="s">
        <v>589</v>
      </c>
      <c r="U302" s="177"/>
      <c r="V302" s="206" t="s">
        <v>589</v>
      </c>
      <c r="W302" s="177"/>
      <c r="X302" s="206" t="s">
        <v>589</v>
      </c>
      <c r="Y302" s="177"/>
      <c r="Z302" s="206" t="s">
        <v>589</v>
      </c>
      <c r="AA302" s="178"/>
      <c r="AB302" s="316"/>
      <c r="AC302" s="155"/>
      <c r="AD302" s="155"/>
      <c r="AE302" s="156"/>
      <c r="AF302" s="157"/>
      <c r="AG302" s="297"/>
    </row>
    <row r="303" spans="1:33" ht="33" x14ac:dyDescent="0.3">
      <c r="B303" s="316"/>
      <c r="C303" s="316"/>
      <c r="E303" s="143"/>
      <c r="F303" s="228"/>
      <c r="G303" s="228"/>
      <c r="H303" s="143"/>
      <c r="I303" s="136"/>
      <c r="J303" s="316"/>
      <c r="K303" s="158"/>
      <c r="L303" s="159"/>
      <c r="M303" s="226" t="s">
        <v>402</v>
      </c>
      <c r="N303" s="315" t="s">
        <v>608</v>
      </c>
      <c r="O303" s="206" t="s">
        <v>591</v>
      </c>
      <c r="P303" s="206" t="s">
        <v>591</v>
      </c>
      <c r="Q303" s="338"/>
      <c r="R303" s="206" t="s">
        <v>591</v>
      </c>
      <c r="S303" s="338"/>
      <c r="T303" s="206" t="s">
        <v>591</v>
      </c>
      <c r="U303" s="177"/>
      <c r="V303" s="206" t="s">
        <v>591</v>
      </c>
      <c r="W303" s="177"/>
      <c r="X303" s="206" t="s">
        <v>591</v>
      </c>
      <c r="Y303" s="177"/>
      <c r="Z303" s="206" t="s">
        <v>591</v>
      </c>
      <c r="AA303" s="178"/>
      <c r="AB303" s="316"/>
      <c r="AC303" s="155"/>
      <c r="AD303" s="155"/>
      <c r="AE303" s="156"/>
      <c r="AF303" s="157"/>
      <c r="AG303" s="297"/>
    </row>
    <row r="304" spans="1:33" s="76" customFormat="1" ht="33" x14ac:dyDescent="0.3">
      <c r="A304" s="269"/>
      <c r="B304" s="316"/>
      <c r="C304" s="316"/>
      <c r="D304" s="269"/>
      <c r="E304" s="143"/>
      <c r="F304" s="228"/>
      <c r="G304" s="228"/>
      <c r="H304" s="143"/>
      <c r="I304" s="136"/>
      <c r="J304" s="316"/>
      <c r="K304" s="158"/>
      <c r="L304" s="159"/>
      <c r="M304" s="226" t="s">
        <v>453</v>
      </c>
      <c r="N304" s="315" t="s">
        <v>609</v>
      </c>
      <c r="O304" s="206" t="s">
        <v>593</v>
      </c>
      <c r="P304" s="206" t="s">
        <v>593</v>
      </c>
      <c r="Q304" s="338"/>
      <c r="R304" s="206" t="s">
        <v>593</v>
      </c>
      <c r="S304" s="338"/>
      <c r="T304" s="206" t="s">
        <v>593</v>
      </c>
      <c r="U304" s="177"/>
      <c r="V304" s="206" t="s">
        <v>593</v>
      </c>
      <c r="W304" s="177"/>
      <c r="X304" s="206" t="s">
        <v>593</v>
      </c>
      <c r="Y304" s="177"/>
      <c r="Z304" s="206" t="s">
        <v>593</v>
      </c>
      <c r="AA304" s="178"/>
      <c r="AB304" s="316"/>
      <c r="AC304" s="155"/>
      <c r="AD304" s="155"/>
      <c r="AE304" s="156"/>
      <c r="AF304" s="157"/>
      <c r="AG304" s="297"/>
    </row>
    <row r="305" spans="1:33" ht="409.5" x14ac:dyDescent="0.3">
      <c r="B305" s="316"/>
      <c r="C305" s="316"/>
      <c r="E305" s="143"/>
      <c r="F305" s="228"/>
      <c r="G305" s="228"/>
      <c r="H305" s="143"/>
      <c r="I305" s="136"/>
      <c r="J305" s="316"/>
      <c r="K305" s="158"/>
      <c r="L305" s="159"/>
      <c r="M305" s="226" t="s">
        <v>454</v>
      </c>
      <c r="N305" s="315" t="s">
        <v>610</v>
      </c>
      <c r="O305" s="206" t="s">
        <v>594</v>
      </c>
      <c r="P305" s="206" t="s">
        <v>594</v>
      </c>
      <c r="Q305" s="338"/>
      <c r="R305" s="206" t="s">
        <v>594</v>
      </c>
      <c r="S305" s="338"/>
      <c r="T305" s="206" t="s">
        <v>594</v>
      </c>
      <c r="U305" s="177"/>
      <c r="V305" s="206" t="s">
        <v>594</v>
      </c>
      <c r="W305" s="177"/>
      <c r="X305" s="206" t="s">
        <v>594</v>
      </c>
      <c r="Y305" s="177"/>
      <c r="Z305" s="206" t="s">
        <v>594</v>
      </c>
      <c r="AA305" s="178"/>
      <c r="AB305" s="316"/>
      <c r="AC305" s="155"/>
      <c r="AD305" s="155"/>
      <c r="AE305" s="156"/>
      <c r="AF305" s="157"/>
      <c r="AG305" s="297"/>
    </row>
    <row r="306" spans="1:33" ht="99" x14ac:dyDescent="0.3">
      <c r="B306" s="316"/>
      <c r="C306" s="316"/>
      <c r="E306" s="143"/>
      <c r="F306" s="143"/>
      <c r="G306" s="143"/>
      <c r="H306" s="143"/>
      <c r="I306" s="143"/>
      <c r="J306" s="316"/>
      <c r="K306" s="158"/>
      <c r="L306" s="159"/>
      <c r="M306" s="226" t="s">
        <v>521</v>
      </c>
      <c r="N306" s="315" t="s">
        <v>611</v>
      </c>
      <c r="O306" s="206" t="s">
        <v>596</v>
      </c>
      <c r="P306" s="206" t="s">
        <v>596</v>
      </c>
      <c r="Q306" s="338"/>
      <c r="R306" s="206" t="s">
        <v>596</v>
      </c>
      <c r="S306" s="338"/>
      <c r="T306" s="206" t="s">
        <v>596</v>
      </c>
      <c r="U306" s="177"/>
      <c r="V306" s="206" t="s">
        <v>596</v>
      </c>
      <c r="W306" s="177"/>
      <c r="X306" s="206" t="s">
        <v>596</v>
      </c>
      <c r="Y306" s="177"/>
      <c r="Z306" s="206" t="s">
        <v>596</v>
      </c>
      <c r="AA306" s="178"/>
      <c r="AB306" s="316"/>
      <c r="AC306" s="155"/>
      <c r="AD306" s="155"/>
      <c r="AE306" s="156"/>
      <c r="AF306" s="157"/>
      <c r="AG306" s="297"/>
    </row>
    <row r="307" spans="1:33" ht="49.5" x14ac:dyDescent="0.3">
      <c r="B307" s="316"/>
      <c r="C307" s="316"/>
      <c r="E307" s="143"/>
      <c r="F307" s="228"/>
      <c r="G307" s="228"/>
      <c r="H307" s="143"/>
      <c r="I307" s="136"/>
      <c r="J307" s="316"/>
      <c r="K307" s="158"/>
      <c r="L307" s="159"/>
      <c r="M307" s="226" t="s">
        <v>522</v>
      </c>
      <c r="N307" s="315" t="s">
        <v>612</v>
      </c>
      <c r="O307" s="206" t="s">
        <v>598</v>
      </c>
      <c r="P307" s="206" t="s">
        <v>598</v>
      </c>
      <c r="Q307" s="338"/>
      <c r="R307" s="206" t="s">
        <v>598</v>
      </c>
      <c r="S307" s="338"/>
      <c r="T307" s="206" t="s">
        <v>598</v>
      </c>
      <c r="U307" s="177"/>
      <c r="V307" s="206" t="s">
        <v>598</v>
      </c>
      <c r="W307" s="177"/>
      <c r="X307" s="206" t="s">
        <v>598</v>
      </c>
      <c r="Y307" s="177"/>
      <c r="Z307" s="206" t="s">
        <v>598</v>
      </c>
      <c r="AA307" s="178"/>
      <c r="AB307" s="316"/>
      <c r="AC307" s="155"/>
      <c r="AD307" s="155"/>
      <c r="AE307" s="156"/>
      <c r="AF307" s="157"/>
      <c r="AG307" s="297"/>
    </row>
    <row r="308" spans="1:33" ht="82.5" x14ac:dyDescent="0.3">
      <c r="B308" s="316"/>
      <c r="C308" s="316"/>
      <c r="E308" s="143"/>
      <c r="F308" s="143"/>
      <c r="G308" s="143"/>
      <c r="H308" s="143"/>
      <c r="I308" s="143"/>
      <c r="J308" s="316"/>
      <c r="K308" s="158"/>
      <c r="L308" s="159"/>
      <c r="M308" s="226" t="s">
        <v>523</v>
      </c>
      <c r="N308" s="315" t="s">
        <v>1019</v>
      </c>
      <c r="O308" s="206" t="s">
        <v>600</v>
      </c>
      <c r="P308" s="206" t="s">
        <v>600</v>
      </c>
      <c r="Q308" s="338"/>
      <c r="R308" s="206" t="s">
        <v>600</v>
      </c>
      <c r="S308" s="338"/>
      <c r="T308" s="206" t="s">
        <v>600</v>
      </c>
      <c r="U308" s="177"/>
      <c r="V308" s="206" t="s">
        <v>600</v>
      </c>
      <c r="W308" s="177"/>
      <c r="X308" s="206" t="s">
        <v>600</v>
      </c>
      <c r="Y308" s="177"/>
      <c r="Z308" s="206" t="s">
        <v>600</v>
      </c>
      <c r="AA308" s="178"/>
      <c r="AB308" s="316"/>
      <c r="AC308" s="155"/>
      <c r="AD308" s="155"/>
      <c r="AE308" s="156"/>
      <c r="AF308" s="157"/>
      <c r="AG308" s="297"/>
    </row>
    <row r="309" spans="1:33" ht="49.5" x14ac:dyDescent="0.3">
      <c r="B309" s="316"/>
      <c r="C309" s="316"/>
      <c r="E309" s="143"/>
      <c r="F309" s="143"/>
      <c r="G309" s="143"/>
      <c r="H309" s="143"/>
      <c r="I309" s="143"/>
      <c r="J309" s="316"/>
      <c r="K309" s="158"/>
      <c r="L309" s="159"/>
      <c r="M309" s="226" t="s">
        <v>524</v>
      </c>
      <c r="N309" s="315" t="s">
        <v>613</v>
      </c>
      <c r="O309" s="206" t="s">
        <v>601</v>
      </c>
      <c r="P309" s="206" t="s">
        <v>601</v>
      </c>
      <c r="Q309" s="338"/>
      <c r="R309" s="206" t="s">
        <v>601</v>
      </c>
      <c r="S309" s="338"/>
      <c r="T309" s="206" t="s">
        <v>601</v>
      </c>
      <c r="U309" s="177"/>
      <c r="V309" s="206" t="s">
        <v>601</v>
      </c>
      <c r="W309" s="177"/>
      <c r="X309" s="206" t="s">
        <v>601</v>
      </c>
      <c r="Y309" s="177"/>
      <c r="Z309" s="206" t="s">
        <v>601</v>
      </c>
      <c r="AA309" s="178"/>
      <c r="AB309" s="316"/>
      <c r="AC309" s="155"/>
      <c r="AD309" s="155"/>
      <c r="AE309" s="156"/>
      <c r="AF309" s="157"/>
      <c r="AG309" s="297"/>
    </row>
    <row r="310" spans="1:33" ht="33" x14ac:dyDescent="0.3">
      <c r="B310" s="316"/>
      <c r="C310" s="316"/>
      <c r="E310" s="143"/>
      <c r="F310" s="143"/>
      <c r="G310" s="143"/>
      <c r="H310" s="143"/>
      <c r="I310" s="143"/>
      <c r="J310" s="316"/>
      <c r="K310" s="137" t="s">
        <v>295</v>
      </c>
      <c r="L310" s="314" t="s">
        <v>291</v>
      </c>
      <c r="M310" s="507" t="s">
        <v>649</v>
      </c>
      <c r="N310" s="508"/>
      <c r="O310" s="137"/>
      <c r="P310" s="137"/>
      <c r="Q310" s="338"/>
      <c r="R310" s="137"/>
      <c r="S310" s="338"/>
      <c r="T310" s="137"/>
      <c r="U310" s="177"/>
      <c r="V310" s="137"/>
      <c r="W310" s="177"/>
      <c r="X310" s="137"/>
      <c r="Y310" s="177"/>
      <c r="Z310" s="137"/>
      <c r="AA310" s="178"/>
      <c r="AB310" s="316"/>
      <c r="AC310" s="155"/>
      <c r="AD310" s="155"/>
      <c r="AE310" s="156"/>
      <c r="AF310" s="157"/>
      <c r="AG310" s="297"/>
    </row>
    <row r="311" spans="1:33" ht="33" x14ac:dyDescent="0.3">
      <c r="B311" s="179"/>
      <c r="C311" s="179"/>
      <c r="D311" s="298"/>
      <c r="E311" s="180"/>
      <c r="F311" s="238"/>
      <c r="G311" s="238"/>
      <c r="H311" s="180"/>
      <c r="I311" s="181"/>
      <c r="J311" s="179"/>
      <c r="K311" s="183" t="s">
        <v>297</v>
      </c>
      <c r="L311" s="182" t="s">
        <v>291</v>
      </c>
      <c r="M311" s="198" t="s">
        <v>501</v>
      </c>
      <c r="N311" s="227"/>
      <c r="O311" s="183"/>
      <c r="P311" s="183"/>
      <c r="Q311" s="339"/>
      <c r="R311" s="183"/>
      <c r="S311" s="339"/>
      <c r="T311" s="183"/>
      <c r="U311" s="347"/>
      <c r="V311" s="183"/>
      <c r="W311" s="347"/>
      <c r="X311" s="183"/>
      <c r="Y311" s="347"/>
      <c r="Z311" s="183"/>
      <c r="AA311" s="350"/>
      <c r="AB311" s="179"/>
      <c r="AC311" s="187"/>
      <c r="AD311" s="187"/>
      <c r="AE311" s="188"/>
      <c r="AF311" s="189"/>
      <c r="AG311" s="299"/>
    </row>
    <row r="312" spans="1:33" x14ac:dyDescent="0.3">
      <c r="B312" s="316"/>
      <c r="C312" s="316"/>
      <c r="E312" s="143"/>
      <c r="F312" s="228"/>
      <c r="G312" s="228"/>
      <c r="H312" s="143"/>
      <c r="I312" s="228"/>
      <c r="J312" s="316"/>
      <c r="K312" s="158"/>
      <c r="L312" s="159"/>
      <c r="M312" s="159"/>
      <c r="N312" s="315"/>
      <c r="O312" s="316"/>
      <c r="P312" s="316"/>
      <c r="Q312" s="338"/>
      <c r="R312" s="316"/>
      <c r="S312" s="338"/>
      <c r="T312" s="316"/>
      <c r="U312" s="177"/>
      <c r="V312" s="316"/>
      <c r="W312" s="177"/>
      <c r="X312" s="316"/>
      <c r="Y312" s="177"/>
      <c r="Z312" s="316"/>
      <c r="AA312" s="178"/>
      <c r="AB312" s="316"/>
      <c r="AC312" s="155"/>
      <c r="AD312" s="155"/>
      <c r="AE312" s="156"/>
      <c r="AF312" s="157"/>
      <c r="AG312" s="297"/>
    </row>
    <row r="313" spans="1:33" s="76" customFormat="1" ht="33" x14ac:dyDescent="0.3">
      <c r="A313" s="269"/>
      <c r="B313" s="316"/>
      <c r="C313" s="316"/>
      <c r="D313" s="269"/>
      <c r="E313" s="143">
        <v>1</v>
      </c>
      <c r="F313" s="228" t="s">
        <v>131</v>
      </c>
      <c r="G313" s="228" t="s">
        <v>131</v>
      </c>
      <c r="H313" s="143">
        <v>11</v>
      </c>
      <c r="I313" s="136">
        <v>2</v>
      </c>
      <c r="J313" s="316" t="s">
        <v>384</v>
      </c>
      <c r="K313" s="158" t="s">
        <v>290</v>
      </c>
      <c r="L313" s="159" t="s">
        <v>291</v>
      </c>
      <c r="M313" s="514" t="s">
        <v>312</v>
      </c>
      <c r="N313" s="515"/>
      <c r="O313" s="316" t="s">
        <v>301</v>
      </c>
      <c r="P313" s="316" t="s">
        <v>301</v>
      </c>
      <c r="Q313" s="338">
        <v>399805000</v>
      </c>
      <c r="R313" s="316" t="s">
        <v>301</v>
      </c>
      <c r="S313" s="334">
        <f>Q313+(Q313*10%)-500</f>
        <v>439785000</v>
      </c>
      <c r="T313" s="316" t="s">
        <v>301</v>
      </c>
      <c r="U313" s="334">
        <f>S313+(S313*10%)-500</f>
        <v>483763000</v>
      </c>
      <c r="V313" s="316" t="s">
        <v>301</v>
      </c>
      <c r="W313" s="334">
        <f>U313+(U313*10%)-300</f>
        <v>532139000</v>
      </c>
      <c r="X313" s="316" t="s">
        <v>301</v>
      </c>
      <c r="Y313" s="334">
        <f>W313+(W313*10%)-900</f>
        <v>585352000</v>
      </c>
      <c r="Z313" s="316" t="s">
        <v>301</v>
      </c>
      <c r="AA313" s="178">
        <f>Y313+W313+U313+S313+Q313</f>
        <v>2440844000</v>
      </c>
      <c r="AB313" s="316" t="s">
        <v>66</v>
      </c>
      <c r="AC313" s="155"/>
      <c r="AD313" s="155"/>
      <c r="AE313" s="156"/>
      <c r="AF313" s="157"/>
      <c r="AG313" s="316" t="s">
        <v>156</v>
      </c>
    </row>
    <row r="314" spans="1:33" s="76" customFormat="1" ht="148.5" x14ac:dyDescent="0.3">
      <c r="A314" s="269"/>
      <c r="B314" s="316"/>
      <c r="C314" s="316"/>
      <c r="D314" s="269"/>
      <c r="E314" s="143"/>
      <c r="F314" s="228"/>
      <c r="G314" s="228"/>
      <c r="H314" s="143"/>
      <c r="I314" s="136"/>
      <c r="J314" s="316"/>
      <c r="K314" s="158" t="s">
        <v>293</v>
      </c>
      <c r="L314" s="159" t="s">
        <v>291</v>
      </c>
      <c r="M314" s="160" t="s">
        <v>299</v>
      </c>
      <c r="N314" s="205" t="s">
        <v>614</v>
      </c>
      <c r="O314" s="206" t="s">
        <v>615</v>
      </c>
      <c r="P314" s="206" t="s">
        <v>615</v>
      </c>
      <c r="Q314" s="338"/>
      <c r="R314" s="206" t="s">
        <v>615</v>
      </c>
      <c r="S314" s="338"/>
      <c r="T314" s="206" t="s">
        <v>615</v>
      </c>
      <c r="U314" s="177"/>
      <c r="V314" s="206" t="s">
        <v>615</v>
      </c>
      <c r="W314" s="177"/>
      <c r="X314" s="206" t="s">
        <v>615</v>
      </c>
      <c r="Y314" s="177"/>
      <c r="Z314" s="206" t="s">
        <v>615</v>
      </c>
      <c r="AA314" s="178"/>
      <c r="AB314" s="316"/>
      <c r="AC314" s="155"/>
      <c r="AD314" s="155"/>
      <c r="AE314" s="156"/>
      <c r="AF314" s="157"/>
      <c r="AG314" s="297"/>
    </row>
    <row r="315" spans="1:33" s="76" customFormat="1" ht="148.5" x14ac:dyDescent="0.3">
      <c r="A315" s="269"/>
      <c r="B315" s="316"/>
      <c r="C315" s="316"/>
      <c r="D315" s="269"/>
      <c r="E315" s="143"/>
      <c r="F315" s="228"/>
      <c r="G315" s="228"/>
      <c r="H315" s="143"/>
      <c r="I315" s="136"/>
      <c r="J315" s="316"/>
      <c r="K315" s="158"/>
      <c r="L315" s="159"/>
      <c r="M315" s="160" t="s">
        <v>303</v>
      </c>
      <c r="N315" s="205" t="s">
        <v>616</v>
      </c>
      <c r="O315" s="206" t="s">
        <v>617</v>
      </c>
      <c r="P315" s="206" t="s">
        <v>617</v>
      </c>
      <c r="Q315" s="338"/>
      <c r="R315" s="206" t="s">
        <v>617</v>
      </c>
      <c r="S315" s="338"/>
      <c r="T315" s="206" t="s">
        <v>617</v>
      </c>
      <c r="U315" s="177"/>
      <c r="V315" s="206" t="s">
        <v>617</v>
      </c>
      <c r="W315" s="177"/>
      <c r="X315" s="206" t="s">
        <v>617</v>
      </c>
      <c r="Y315" s="177"/>
      <c r="Z315" s="206" t="s">
        <v>617</v>
      </c>
      <c r="AA315" s="178"/>
      <c r="AB315" s="316"/>
      <c r="AC315" s="155"/>
      <c r="AD315" s="155"/>
      <c r="AE315" s="156"/>
      <c r="AF315" s="157"/>
      <c r="AG315" s="297"/>
    </row>
    <row r="316" spans="1:33" s="76" customFormat="1" ht="49.5" x14ac:dyDescent="0.3">
      <c r="A316" s="269"/>
      <c r="B316" s="316"/>
      <c r="C316" s="316"/>
      <c r="D316" s="269"/>
      <c r="E316" s="143"/>
      <c r="F316" s="228"/>
      <c r="G316" s="228"/>
      <c r="H316" s="143"/>
      <c r="I316" s="136"/>
      <c r="J316" s="316"/>
      <c r="K316" s="158"/>
      <c r="L316" s="159"/>
      <c r="M316" s="160" t="s">
        <v>318</v>
      </c>
      <c r="N316" s="205" t="s">
        <v>618</v>
      </c>
      <c r="O316" s="206" t="s">
        <v>619</v>
      </c>
      <c r="P316" s="206" t="s">
        <v>619</v>
      </c>
      <c r="Q316" s="338"/>
      <c r="R316" s="206" t="s">
        <v>619</v>
      </c>
      <c r="S316" s="338"/>
      <c r="T316" s="206" t="s">
        <v>619</v>
      </c>
      <c r="U316" s="177"/>
      <c r="V316" s="206" t="s">
        <v>619</v>
      </c>
      <c r="W316" s="177"/>
      <c r="X316" s="206" t="s">
        <v>619</v>
      </c>
      <c r="Y316" s="177"/>
      <c r="Z316" s="206" t="s">
        <v>619</v>
      </c>
      <c r="AA316" s="178"/>
      <c r="AB316" s="316"/>
      <c r="AC316" s="155"/>
      <c r="AD316" s="155"/>
      <c r="AE316" s="156"/>
      <c r="AF316" s="157"/>
      <c r="AG316" s="297"/>
    </row>
    <row r="317" spans="1:33" s="76" customFormat="1" ht="66" x14ac:dyDescent="0.3">
      <c r="A317" s="269"/>
      <c r="B317" s="316"/>
      <c r="C317" s="316"/>
      <c r="D317" s="269"/>
      <c r="E317" s="143"/>
      <c r="F317" s="228"/>
      <c r="G317" s="228"/>
      <c r="H317" s="143"/>
      <c r="I317" s="136"/>
      <c r="J317" s="316"/>
      <c r="K317" s="158"/>
      <c r="L317" s="159"/>
      <c r="M317" s="160" t="s">
        <v>331</v>
      </c>
      <c r="N317" s="205" t="s">
        <v>620</v>
      </c>
      <c r="O317" s="206" t="s">
        <v>621</v>
      </c>
      <c r="P317" s="206" t="s">
        <v>621</v>
      </c>
      <c r="Q317" s="338"/>
      <c r="R317" s="206" t="s">
        <v>621</v>
      </c>
      <c r="S317" s="338"/>
      <c r="T317" s="206" t="s">
        <v>621</v>
      </c>
      <c r="U317" s="177"/>
      <c r="V317" s="206" t="s">
        <v>621</v>
      </c>
      <c r="W317" s="177"/>
      <c r="X317" s="206" t="s">
        <v>621</v>
      </c>
      <c r="Y317" s="177"/>
      <c r="Z317" s="206" t="s">
        <v>621</v>
      </c>
      <c r="AA317" s="178"/>
      <c r="AB317" s="316"/>
      <c r="AC317" s="155"/>
      <c r="AD317" s="155"/>
      <c r="AE317" s="156"/>
      <c r="AF317" s="157"/>
      <c r="AG317" s="297"/>
    </row>
    <row r="318" spans="1:33" s="76" customFormat="1" ht="264" x14ac:dyDescent="0.3">
      <c r="A318" s="269"/>
      <c r="B318" s="316"/>
      <c r="C318" s="316"/>
      <c r="D318" s="269"/>
      <c r="E318" s="143"/>
      <c r="F318" s="228"/>
      <c r="G318" s="228"/>
      <c r="H318" s="143"/>
      <c r="I318" s="136"/>
      <c r="J318" s="316"/>
      <c r="K318" s="158"/>
      <c r="L318" s="159"/>
      <c r="M318" s="160" t="s">
        <v>353</v>
      </c>
      <c r="N318" s="205" t="s">
        <v>622</v>
      </c>
      <c r="O318" s="206" t="s">
        <v>623</v>
      </c>
      <c r="P318" s="206" t="s">
        <v>623</v>
      </c>
      <c r="Q318" s="338"/>
      <c r="R318" s="206" t="s">
        <v>623</v>
      </c>
      <c r="S318" s="338"/>
      <c r="T318" s="206" t="s">
        <v>623</v>
      </c>
      <c r="U318" s="177"/>
      <c r="V318" s="206" t="s">
        <v>623</v>
      </c>
      <c r="W318" s="177"/>
      <c r="X318" s="206" t="s">
        <v>623</v>
      </c>
      <c r="Y318" s="177"/>
      <c r="Z318" s="206" t="s">
        <v>623</v>
      </c>
      <c r="AA318" s="178"/>
      <c r="AB318" s="316"/>
      <c r="AC318" s="155"/>
      <c r="AD318" s="155"/>
      <c r="AE318" s="156"/>
      <c r="AF318" s="157"/>
      <c r="AG318" s="297"/>
    </row>
    <row r="319" spans="1:33" s="76" customFormat="1" ht="82.5" x14ac:dyDescent="0.3">
      <c r="A319" s="269"/>
      <c r="B319" s="316"/>
      <c r="C319" s="316"/>
      <c r="D319" s="269"/>
      <c r="E319" s="143"/>
      <c r="F319" s="228"/>
      <c r="G319" s="228"/>
      <c r="H319" s="143"/>
      <c r="I319" s="136"/>
      <c r="J319" s="316"/>
      <c r="K319" s="158"/>
      <c r="L319" s="159"/>
      <c r="M319" s="160" t="s">
        <v>352</v>
      </c>
      <c r="N319" s="205" t="s">
        <v>624</v>
      </c>
      <c r="O319" s="206" t="s">
        <v>625</v>
      </c>
      <c r="P319" s="206" t="s">
        <v>625</v>
      </c>
      <c r="Q319" s="338"/>
      <c r="R319" s="206" t="s">
        <v>625</v>
      </c>
      <c r="S319" s="338"/>
      <c r="T319" s="206" t="s">
        <v>625</v>
      </c>
      <c r="U319" s="177"/>
      <c r="V319" s="206" t="s">
        <v>625</v>
      </c>
      <c r="W319" s="177"/>
      <c r="X319" s="206" t="s">
        <v>625</v>
      </c>
      <c r="Y319" s="177"/>
      <c r="Z319" s="206" t="s">
        <v>625</v>
      </c>
      <c r="AA319" s="178"/>
      <c r="AB319" s="316"/>
      <c r="AC319" s="155"/>
      <c r="AD319" s="155"/>
      <c r="AE319" s="156"/>
      <c r="AF319" s="157"/>
      <c r="AG319" s="297"/>
    </row>
    <row r="320" spans="1:33" s="76" customFormat="1" ht="99" x14ac:dyDescent="0.3">
      <c r="A320" s="269"/>
      <c r="B320" s="316"/>
      <c r="C320" s="316"/>
      <c r="D320" s="269"/>
      <c r="E320" s="143"/>
      <c r="F320" s="228"/>
      <c r="G320" s="228"/>
      <c r="H320" s="143"/>
      <c r="I320" s="136"/>
      <c r="J320" s="316"/>
      <c r="K320" s="137"/>
      <c r="L320" s="314"/>
      <c r="M320" s="226" t="s">
        <v>402</v>
      </c>
      <c r="N320" s="205" t="s">
        <v>626</v>
      </c>
      <c r="O320" s="206" t="s">
        <v>627</v>
      </c>
      <c r="P320" s="206" t="s">
        <v>627</v>
      </c>
      <c r="Q320" s="338"/>
      <c r="R320" s="206" t="s">
        <v>627</v>
      </c>
      <c r="S320" s="338"/>
      <c r="T320" s="206" t="s">
        <v>627</v>
      </c>
      <c r="U320" s="177"/>
      <c r="V320" s="206" t="s">
        <v>627</v>
      </c>
      <c r="W320" s="177"/>
      <c r="X320" s="206" t="s">
        <v>627</v>
      </c>
      <c r="Y320" s="177"/>
      <c r="Z320" s="206" t="s">
        <v>627</v>
      </c>
      <c r="AA320" s="178"/>
      <c r="AB320" s="316"/>
      <c r="AC320" s="155"/>
      <c r="AD320" s="155"/>
      <c r="AE320" s="156"/>
      <c r="AF320" s="157"/>
      <c r="AG320" s="297"/>
    </row>
    <row r="321" spans="1:33" s="76" customFormat="1" ht="264" x14ac:dyDescent="0.3">
      <c r="A321" s="269"/>
      <c r="B321" s="316"/>
      <c r="C321" s="316"/>
      <c r="D321" s="269"/>
      <c r="E321" s="143"/>
      <c r="F321" s="228"/>
      <c r="G321" s="228"/>
      <c r="H321" s="143"/>
      <c r="I321" s="136"/>
      <c r="J321" s="316"/>
      <c r="K321" s="137"/>
      <c r="L321" s="314"/>
      <c r="M321" s="226" t="s">
        <v>453</v>
      </c>
      <c r="N321" s="205" t="s">
        <v>628</v>
      </c>
      <c r="O321" s="206" t="s">
        <v>629</v>
      </c>
      <c r="P321" s="206" t="s">
        <v>629</v>
      </c>
      <c r="Q321" s="338"/>
      <c r="R321" s="206" t="s">
        <v>629</v>
      </c>
      <c r="S321" s="338"/>
      <c r="T321" s="206" t="s">
        <v>629</v>
      </c>
      <c r="U321" s="177"/>
      <c r="V321" s="206" t="s">
        <v>629</v>
      </c>
      <c r="W321" s="177"/>
      <c r="X321" s="206" t="s">
        <v>629</v>
      </c>
      <c r="Y321" s="177"/>
      <c r="Z321" s="206" t="s">
        <v>629</v>
      </c>
      <c r="AA321" s="178"/>
      <c r="AB321" s="316"/>
      <c r="AC321" s="155"/>
      <c r="AD321" s="155"/>
      <c r="AE321" s="156"/>
      <c r="AF321" s="157"/>
      <c r="AG321" s="297"/>
    </row>
    <row r="322" spans="1:33" s="76" customFormat="1" ht="33" x14ac:dyDescent="0.3">
      <c r="A322" s="269"/>
      <c r="B322" s="316"/>
      <c r="C322" s="316"/>
      <c r="D322" s="269"/>
      <c r="E322" s="143"/>
      <c r="F322" s="228"/>
      <c r="G322" s="228"/>
      <c r="H322" s="143"/>
      <c r="I322" s="136"/>
      <c r="J322" s="316"/>
      <c r="K322" s="137"/>
      <c r="L322" s="314"/>
      <c r="M322" s="226" t="s">
        <v>454</v>
      </c>
      <c r="N322" s="205" t="s">
        <v>630</v>
      </c>
      <c r="O322" s="206" t="s">
        <v>631</v>
      </c>
      <c r="P322" s="206" t="s">
        <v>631</v>
      </c>
      <c r="Q322" s="338"/>
      <c r="R322" s="206" t="s">
        <v>631</v>
      </c>
      <c r="S322" s="338"/>
      <c r="T322" s="206" t="s">
        <v>631</v>
      </c>
      <c r="U322" s="177"/>
      <c r="V322" s="206" t="s">
        <v>631</v>
      </c>
      <c r="W322" s="177"/>
      <c r="X322" s="206" t="s">
        <v>631</v>
      </c>
      <c r="Y322" s="177"/>
      <c r="Z322" s="206" t="s">
        <v>631</v>
      </c>
      <c r="AA322" s="178"/>
      <c r="AB322" s="316"/>
      <c r="AC322" s="155"/>
      <c r="AD322" s="155"/>
      <c r="AE322" s="156"/>
      <c r="AF322" s="157"/>
      <c r="AG322" s="297"/>
    </row>
    <row r="323" spans="1:33" s="76" customFormat="1" ht="66" x14ac:dyDescent="0.3">
      <c r="A323" s="269"/>
      <c r="B323" s="316"/>
      <c r="C323" s="316"/>
      <c r="D323" s="269"/>
      <c r="E323" s="143"/>
      <c r="F323" s="228"/>
      <c r="G323" s="228"/>
      <c r="H323" s="143"/>
      <c r="I323" s="136"/>
      <c r="J323" s="316"/>
      <c r="K323" s="137"/>
      <c r="L323" s="314"/>
      <c r="M323" s="226" t="s">
        <v>521</v>
      </c>
      <c r="N323" s="205" t="s">
        <v>632</v>
      </c>
      <c r="O323" s="206" t="s">
        <v>633</v>
      </c>
      <c r="P323" s="206" t="s">
        <v>633</v>
      </c>
      <c r="Q323" s="338"/>
      <c r="R323" s="206" t="s">
        <v>633</v>
      </c>
      <c r="S323" s="338"/>
      <c r="T323" s="206" t="s">
        <v>633</v>
      </c>
      <c r="U323" s="177"/>
      <c r="V323" s="206" t="s">
        <v>633</v>
      </c>
      <c r="W323" s="177"/>
      <c r="X323" s="206" t="s">
        <v>633</v>
      </c>
      <c r="Y323" s="177"/>
      <c r="Z323" s="206" t="s">
        <v>633</v>
      </c>
      <c r="AA323" s="178"/>
      <c r="AB323" s="316"/>
      <c r="AC323" s="155"/>
      <c r="AD323" s="155"/>
      <c r="AE323" s="156"/>
      <c r="AF323" s="157"/>
      <c r="AG323" s="297"/>
    </row>
    <row r="324" spans="1:33" s="76" customFormat="1" ht="82.5" x14ac:dyDescent="0.3">
      <c r="A324" s="269"/>
      <c r="B324" s="316"/>
      <c r="C324" s="316"/>
      <c r="D324" s="269"/>
      <c r="E324" s="143"/>
      <c r="F324" s="228"/>
      <c r="G324" s="228"/>
      <c r="H324" s="143"/>
      <c r="I324" s="136"/>
      <c r="J324" s="316"/>
      <c r="K324" s="137"/>
      <c r="L324" s="314"/>
      <c r="M324" s="226" t="s">
        <v>522</v>
      </c>
      <c r="N324" s="205" t="s">
        <v>634</v>
      </c>
      <c r="O324" s="206" t="s">
        <v>635</v>
      </c>
      <c r="P324" s="206" t="s">
        <v>635</v>
      </c>
      <c r="Q324" s="338"/>
      <c r="R324" s="206" t="s">
        <v>635</v>
      </c>
      <c r="S324" s="338"/>
      <c r="T324" s="206" t="s">
        <v>635</v>
      </c>
      <c r="U324" s="177"/>
      <c r="V324" s="206" t="s">
        <v>635</v>
      </c>
      <c r="W324" s="177"/>
      <c r="X324" s="206" t="s">
        <v>635</v>
      </c>
      <c r="Y324" s="177"/>
      <c r="Z324" s="206" t="s">
        <v>635</v>
      </c>
      <c r="AA324" s="178"/>
      <c r="AB324" s="316"/>
      <c r="AC324" s="155"/>
      <c r="AD324" s="155"/>
      <c r="AE324" s="156"/>
      <c r="AF324" s="157"/>
      <c r="AG324" s="297"/>
    </row>
    <row r="325" spans="1:33" s="76" customFormat="1" ht="49.5" x14ac:dyDescent="0.3">
      <c r="A325" s="269"/>
      <c r="B325" s="316"/>
      <c r="C325" s="316"/>
      <c r="D325" s="269"/>
      <c r="E325" s="143"/>
      <c r="F325" s="228"/>
      <c r="G325" s="228"/>
      <c r="H325" s="143"/>
      <c r="I325" s="136"/>
      <c r="J325" s="316"/>
      <c r="K325" s="137"/>
      <c r="L325" s="314"/>
      <c r="M325" s="226" t="s">
        <v>523</v>
      </c>
      <c r="N325" s="205" t="s">
        <v>636</v>
      </c>
      <c r="O325" s="206" t="s">
        <v>637</v>
      </c>
      <c r="P325" s="206" t="s">
        <v>637</v>
      </c>
      <c r="Q325" s="338"/>
      <c r="R325" s="206" t="s">
        <v>637</v>
      </c>
      <c r="S325" s="338"/>
      <c r="T325" s="206" t="s">
        <v>637</v>
      </c>
      <c r="U325" s="177"/>
      <c r="V325" s="206" t="s">
        <v>637</v>
      </c>
      <c r="W325" s="177"/>
      <c r="X325" s="206" t="s">
        <v>637</v>
      </c>
      <c r="Y325" s="177"/>
      <c r="Z325" s="206" t="s">
        <v>637</v>
      </c>
      <c r="AA325" s="178"/>
      <c r="AB325" s="316"/>
      <c r="AC325" s="155"/>
      <c r="AD325" s="155"/>
      <c r="AE325" s="156"/>
      <c r="AF325" s="157"/>
      <c r="AG325" s="297"/>
    </row>
    <row r="326" spans="1:33" s="76" customFormat="1" ht="33" x14ac:dyDescent="0.3">
      <c r="A326" s="269"/>
      <c r="B326" s="316"/>
      <c r="C326" s="316"/>
      <c r="D326" s="269"/>
      <c r="E326" s="143"/>
      <c r="F326" s="228"/>
      <c r="G326" s="228"/>
      <c r="H326" s="143"/>
      <c r="I326" s="136"/>
      <c r="J326" s="316"/>
      <c r="K326" s="158" t="s">
        <v>294</v>
      </c>
      <c r="L326" s="159" t="s">
        <v>291</v>
      </c>
      <c r="M326" s="226" t="s">
        <v>299</v>
      </c>
      <c r="N326" s="315" t="s">
        <v>638</v>
      </c>
      <c r="O326" s="196" t="s">
        <v>573</v>
      </c>
      <c r="P326" s="196" t="s">
        <v>573</v>
      </c>
      <c r="Q326" s="338"/>
      <c r="R326" s="196" t="s">
        <v>573</v>
      </c>
      <c r="S326" s="338"/>
      <c r="T326" s="196" t="s">
        <v>573</v>
      </c>
      <c r="U326" s="177"/>
      <c r="V326" s="196" t="s">
        <v>573</v>
      </c>
      <c r="W326" s="177"/>
      <c r="X326" s="196" t="s">
        <v>573</v>
      </c>
      <c r="Y326" s="177"/>
      <c r="Z326" s="196" t="s">
        <v>573</v>
      </c>
      <c r="AA326" s="178"/>
      <c r="AB326" s="316"/>
      <c r="AC326" s="155"/>
      <c r="AD326" s="155"/>
      <c r="AE326" s="156"/>
      <c r="AF326" s="157"/>
      <c r="AG326" s="297"/>
    </row>
    <row r="327" spans="1:33" s="76" customFormat="1" ht="33" x14ac:dyDescent="0.3">
      <c r="A327" s="269"/>
      <c r="B327" s="316"/>
      <c r="C327" s="316"/>
      <c r="D327" s="269"/>
      <c r="E327" s="143"/>
      <c r="F327" s="228"/>
      <c r="G327" s="228"/>
      <c r="H327" s="143"/>
      <c r="I327" s="136"/>
      <c r="J327" s="316"/>
      <c r="K327" s="158"/>
      <c r="L327" s="159"/>
      <c r="M327" s="226" t="s">
        <v>303</v>
      </c>
      <c r="N327" s="315" t="s">
        <v>638</v>
      </c>
      <c r="O327" s="196" t="s">
        <v>573</v>
      </c>
      <c r="P327" s="196" t="s">
        <v>573</v>
      </c>
      <c r="Q327" s="338"/>
      <c r="R327" s="196" t="s">
        <v>573</v>
      </c>
      <c r="S327" s="338"/>
      <c r="T327" s="196" t="s">
        <v>573</v>
      </c>
      <c r="U327" s="177"/>
      <c r="V327" s="196" t="s">
        <v>573</v>
      </c>
      <c r="W327" s="177"/>
      <c r="X327" s="196" t="s">
        <v>573</v>
      </c>
      <c r="Y327" s="177"/>
      <c r="Z327" s="196" t="s">
        <v>573</v>
      </c>
      <c r="AA327" s="178"/>
      <c r="AB327" s="316"/>
      <c r="AC327" s="155"/>
      <c r="AD327" s="155"/>
      <c r="AE327" s="156"/>
      <c r="AF327" s="157"/>
      <c r="AG327" s="297"/>
    </row>
    <row r="328" spans="1:33" s="76" customFormat="1" ht="49.5" x14ac:dyDescent="0.3">
      <c r="A328" s="269"/>
      <c r="B328" s="316"/>
      <c r="C328" s="316"/>
      <c r="D328" s="269"/>
      <c r="E328" s="143"/>
      <c r="F328" s="228"/>
      <c r="G328" s="228"/>
      <c r="H328" s="143"/>
      <c r="I328" s="136"/>
      <c r="J328" s="316"/>
      <c r="K328" s="158"/>
      <c r="L328" s="159"/>
      <c r="M328" s="226" t="s">
        <v>318</v>
      </c>
      <c r="N328" s="315" t="s">
        <v>639</v>
      </c>
      <c r="O328" s="196" t="s">
        <v>573</v>
      </c>
      <c r="P328" s="196" t="s">
        <v>573</v>
      </c>
      <c r="Q328" s="338"/>
      <c r="R328" s="196" t="s">
        <v>573</v>
      </c>
      <c r="S328" s="338"/>
      <c r="T328" s="196" t="s">
        <v>573</v>
      </c>
      <c r="U328" s="177"/>
      <c r="V328" s="196" t="s">
        <v>573</v>
      </c>
      <c r="W328" s="177"/>
      <c r="X328" s="196" t="s">
        <v>573</v>
      </c>
      <c r="Y328" s="177"/>
      <c r="Z328" s="196" t="s">
        <v>573</v>
      </c>
      <c r="AA328" s="178"/>
      <c r="AB328" s="316"/>
      <c r="AC328" s="155"/>
      <c r="AD328" s="155"/>
      <c r="AE328" s="156"/>
      <c r="AF328" s="157"/>
      <c r="AG328" s="297"/>
    </row>
    <row r="329" spans="1:33" s="76" customFormat="1" ht="33" x14ac:dyDescent="0.3">
      <c r="A329" s="269"/>
      <c r="B329" s="316"/>
      <c r="C329" s="316"/>
      <c r="D329" s="269"/>
      <c r="E329" s="143"/>
      <c r="F329" s="228"/>
      <c r="G329" s="228"/>
      <c r="H329" s="143"/>
      <c r="I329" s="136"/>
      <c r="J329" s="316"/>
      <c r="K329" s="158"/>
      <c r="L329" s="159"/>
      <c r="M329" s="226" t="s">
        <v>331</v>
      </c>
      <c r="N329" s="315" t="s">
        <v>640</v>
      </c>
      <c r="O329" s="196" t="s">
        <v>573</v>
      </c>
      <c r="P329" s="196" t="s">
        <v>573</v>
      </c>
      <c r="Q329" s="338"/>
      <c r="R329" s="196" t="s">
        <v>573</v>
      </c>
      <c r="S329" s="338"/>
      <c r="T329" s="196" t="s">
        <v>573</v>
      </c>
      <c r="U329" s="177"/>
      <c r="V329" s="196" t="s">
        <v>573</v>
      </c>
      <c r="W329" s="177"/>
      <c r="X329" s="196" t="s">
        <v>573</v>
      </c>
      <c r="Y329" s="177"/>
      <c r="Z329" s="196" t="s">
        <v>573</v>
      </c>
      <c r="AA329" s="178"/>
      <c r="AB329" s="316"/>
      <c r="AC329" s="155"/>
      <c r="AD329" s="155"/>
      <c r="AE329" s="156"/>
      <c r="AF329" s="157"/>
      <c r="AG329" s="297"/>
    </row>
    <row r="330" spans="1:33" s="76" customFormat="1" x14ac:dyDescent="0.3">
      <c r="A330" s="269"/>
      <c r="B330" s="316"/>
      <c r="C330" s="316"/>
      <c r="D330" s="269"/>
      <c r="E330" s="143"/>
      <c r="F330" s="228"/>
      <c r="G330" s="228"/>
      <c r="H330" s="143"/>
      <c r="I330" s="136"/>
      <c r="J330" s="316"/>
      <c r="K330" s="158"/>
      <c r="L330" s="159"/>
      <c r="M330" s="226" t="s">
        <v>353</v>
      </c>
      <c r="N330" s="315" t="s">
        <v>641</v>
      </c>
      <c r="O330" s="196" t="s">
        <v>573</v>
      </c>
      <c r="P330" s="196" t="s">
        <v>573</v>
      </c>
      <c r="Q330" s="338"/>
      <c r="R330" s="196" t="s">
        <v>573</v>
      </c>
      <c r="S330" s="338"/>
      <c r="T330" s="196" t="s">
        <v>573</v>
      </c>
      <c r="U330" s="177"/>
      <c r="V330" s="196" t="s">
        <v>573</v>
      </c>
      <c r="W330" s="177"/>
      <c r="X330" s="196" t="s">
        <v>573</v>
      </c>
      <c r="Y330" s="177"/>
      <c r="Z330" s="196" t="s">
        <v>573</v>
      </c>
      <c r="AA330" s="178"/>
      <c r="AB330" s="316"/>
      <c r="AC330" s="155"/>
      <c r="AD330" s="155"/>
      <c r="AE330" s="156"/>
      <c r="AF330" s="157"/>
      <c r="AG330" s="297"/>
    </row>
    <row r="331" spans="1:33" s="76" customFormat="1" ht="49.5" x14ac:dyDescent="0.3">
      <c r="A331" s="269"/>
      <c r="B331" s="316"/>
      <c r="C331" s="316"/>
      <c r="D331" s="269"/>
      <c r="E331" s="143"/>
      <c r="F331" s="228"/>
      <c r="G331" s="228"/>
      <c r="H331" s="143"/>
      <c r="I331" s="136"/>
      <c r="J331" s="316"/>
      <c r="K331" s="158"/>
      <c r="L331" s="159"/>
      <c r="M331" s="226" t="s">
        <v>352</v>
      </c>
      <c r="N331" s="315" t="s">
        <v>642</v>
      </c>
      <c r="O331" s="196" t="s">
        <v>573</v>
      </c>
      <c r="P331" s="196" t="s">
        <v>573</v>
      </c>
      <c r="Q331" s="338"/>
      <c r="R331" s="196" t="s">
        <v>573</v>
      </c>
      <c r="S331" s="338"/>
      <c r="T331" s="196" t="s">
        <v>573</v>
      </c>
      <c r="U331" s="177"/>
      <c r="V331" s="196" t="s">
        <v>573</v>
      </c>
      <c r="W331" s="177"/>
      <c r="X331" s="196" t="s">
        <v>573</v>
      </c>
      <c r="Y331" s="177"/>
      <c r="Z331" s="196" t="s">
        <v>573</v>
      </c>
      <c r="AA331" s="178"/>
      <c r="AB331" s="316"/>
      <c r="AC331" s="155"/>
      <c r="AD331" s="155"/>
      <c r="AE331" s="156"/>
      <c r="AF331" s="157"/>
      <c r="AG331" s="297"/>
    </row>
    <row r="332" spans="1:33" s="76" customFormat="1" ht="66" x14ac:dyDescent="0.3">
      <c r="A332" s="269"/>
      <c r="B332" s="316"/>
      <c r="C332" s="316"/>
      <c r="D332" s="269"/>
      <c r="E332" s="143"/>
      <c r="F332" s="228"/>
      <c r="G332" s="228"/>
      <c r="H332" s="143"/>
      <c r="I332" s="136"/>
      <c r="J332" s="316"/>
      <c r="K332" s="158"/>
      <c r="L332" s="159"/>
      <c r="M332" s="226" t="s">
        <v>402</v>
      </c>
      <c r="N332" s="315" t="s">
        <v>643</v>
      </c>
      <c r="O332" s="196" t="s">
        <v>573</v>
      </c>
      <c r="P332" s="196" t="s">
        <v>573</v>
      </c>
      <c r="Q332" s="338"/>
      <c r="R332" s="196" t="s">
        <v>573</v>
      </c>
      <c r="S332" s="338"/>
      <c r="T332" s="196" t="s">
        <v>573</v>
      </c>
      <c r="U332" s="177"/>
      <c r="V332" s="196" t="s">
        <v>573</v>
      </c>
      <c r="W332" s="177"/>
      <c r="X332" s="196" t="s">
        <v>573</v>
      </c>
      <c r="Y332" s="177"/>
      <c r="Z332" s="196" t="s">
        <v>573</v>
      </c>
      <c r="AA332" s="178"/>
      <c r="AB332" s="316"/>
      <c r="AC332" s="155"/>
      <c r="AD332" s="155"/>
      <c r="AE332" s="156"/>
      <c r="AF332" s="157"/>
      <c r="AG332" s="297"/>
    </row>
    <row r="333" spans="1:33" s="76" customFormat="1" ht="33" x14ac:dyDescent="0.3">
      <c r="A333" s="269"/>
      <c r="B333" s="316"/>
      <c r="C333" s="316"/>
      <c r="D333" s="269"/>
      <c r="E333" s="143"/>
      <c r="F333" s="228"/>
      <c r="G333" s="228"/>
      <c r="H333" s="143"/>
      <c r="I333" s="136"/>
      <c r="J333" s="316"/>
      <c r="K333" s="158"/>
      <c r="L333" s="159"/>
      <c r="M333" s="226" t="s">
        <v>453</v>
      </c>
      <c r="N333" s="315" t="s">
        <v>644</v>
      </c>
      <c r="O333" s="196" t="s">
        <v>573</v>
      </c>
      <c r="P333" s="196" t="s">
        <v>573</v>
      </c>
      <c r="Q333" s="338"/>
      <c r="R333" s="196" t="s">
        <v>573</v>
      </c>
      <c r="S333" s="338"/>
      <c r="T333" s="196" t="s">
        <v>573</v>
      </c>
      <c r="U333" s="177"/>
      <c r="V333" s="196" t="s">
        <v>573</v>
      </c>
      <c r="W333" s="177"/>
      <c r="X333" s="196" t="s">
        <v>573</v>
      </c>
      <c r="Y333" s="177"/>
      <c r="Z333" s="196" t="s">
        <v>573</v>
      </c>
      <c r="AA333" s="178"/>
      <c r="AB333" s="316"/>
      <c r="AC333" s="155"/>
      <c r="AD333" s="155"/>
      <c r="AE333" s="156"/>
      <c r="AF333" s="157"/>
      <c r="AG333" s="297"/>
    </row>
    <row r="334" spans="1:33" s="76" customFormat="1" ht="33" x14ac:dyDescent="0.3">
      <c r="A334" s="269"/>
      <c r="B334" s="316"/>
      <c r="C334" s="316"/>
      <c r="D334" s="269"/>
      <c r="E334" s="143"/>
      <c r="F334" s="228"/>
      <c r="G334" s="228"/>
      <c r="H334" s="143"/>
      <c r="I334" s="136"/>
      <c r="J334" s="316"/>
      <c r="K334" s="158"/>
      <c r="L334" s="159"/>
      <c r="M334" s="226" t="s">
        <v>454</v>
      </c>
      <c r="N334" s="315" t="s">
        <v>645</v>
      </c>
      <c r="O334" s="196" t="s">
        <v>573</v>
      </c>
      <c r="P334" s="196" t="s">
        <v>573</v>
      </c>
      <c r="Q334" s="338"/>
      <c r="R334" s="196" t="s">
        <v>573</v>
      </c>
      <c r="S334" s="338"/>
      <c r="T334" s="196" t="s">
        <v>573</v>
      </c>
      <c r="U334" s="177"/>
      <c r="V334" s="196" t="s">
        <v>573</v>
      </c>
      <c r="W334" s="177"/>
      <c r="X334" s="196" t="s">
        <v>573</v>
      </c>
      <c r="Y334" s="177"/>
      <c r="Z334" s="196" t="s">
        <v>573</v>
      </c>
      <c r="AA334" s="178"/>
      <c r="AB334" s="316"/>
      <c r="AC334" s="155"/>
      <c r="AD334" s="155"/>
      <c r="AE334" s="156"/>
      <c r="AF334" s="157"/>
      <c r="AG334" s="297"/>
    </row>
    <row r="335" spans="1:33" s="76" customFormat="1" ht="49.5" x14ac:dyDescent="0.3">
      <c r="A335" s="269"/>
      <c r="B335" s="316"/>
      <c r="C335" s="316"/>
      <c r="D335" s="269"/>
      <c r="E335" s="143"/>
      <c r="F335" s="228"/>
      <c r="G335" s="228"/>
      <c r="H335" s="143"/>
      <c r="I335" s="136"/>
      <c r="J335" s="316"/>
      <c r="K335" s="158"/>
      <c r="L335" s="159"/>
      <c r="M335" s="226" t="s">
        <v>521</v>
      </c>
      <c r="N335" s="315" t="s">
        <v>646</v>
      </c>
      <c r="O335" s="196" t="s">
        <v>573</v>
      </c>
      <c r="P335" s="196" t="s">
        <v>573</v>
      </c>
      <c r="Q335" s="338"/>
      <c r="R335" s="196" t="s">
        <v>573</v>
      </c>
      <c r="S335" s="338"/>
      <c r="T335" s="196" t="s">
        <v>573</v>
      </c>
      <c r="U335" s="177"/>
      <c r="V335" s="196" t="s">
        <v>573</v>
      </c>
      <c r="W335" s="177"/>
      <c r="X335" s="196" t="s">
        <v>573</v>
      </c>
      <c r="Y335" s="177"/>
      <c r="Z335" s="196" t="s">
        <v>573</v>
      </c>
      <c r="AA335" s="178"/>
      <c r="AB335" s="316"/>
      <c r="AC335" s="155"/>
      <c r="AD335" s="155"/>
      <c r="AE335" s="156"/>
      <c r="AF335" s="157"/>
      <c r="AG335" s="297"/>
    </row>
    <row r="336" spans="1:33" s="76" customFormat="1" ht="33" x14ac:dyDescent="0.3">
      <c r="A336" s="269"/>
      <c r="B336" s="316"/>
      <c r="C336" s="316"/>
      <c r="D336" s="269"/>
      <c r="E336" s="143"/>
      <c r="F336" s="228"/>
      <c r="G336" s="228"/>
      <c r="H336" s="143"/>
      <c r="I336" s="136"/>
      <c r="J336" s="316"/>
      <c r="K336" s="158"/>
      <c r="L336" s="159"/>
      <c r="M336" s="226" t="s">
        <v>522</v>
      </c>
      <c r="N336" s="315" t="s">
        <v>647</v>
      </c>
      <c r="O336" s="196" t="s">
        <v>573</v>
      </c>
      <c r="P336" s="196" t="s">
        <v>573</v>
      </c>
      <c r="Q336" s="338"/>
      <c r="R336" s="196" t="s">
        <v>573</v>
      </c>
      <c r="S336" s="338"/>
      <c r="T336" s="196" t="s">
        <v>573</v>
      </c>
      <c r="U336" s="177"/>
      <c r="V336" s="196" t="s">
        <v>573</v>
      </c>
      <c r="W336" s="177"/>
      <c r="X336" s="196" t="s">
        <v>573</v>
      </c>
      <c r="Y336" s="177"/>
      <c r="Z336" s="196" t="s">
        <v>573</v>
      </c>
      <c r="AA336" s="178"/>
      <c r="AB336" s="316"/>
      <c r="AC336" s="155"/>
      <c r="AD336" s="155"/>
      <c r="AE336" s="156"/>
      <c r="AF336" s="157"/>
      <c r="AG336" s="297"/>
    </row>
    <row r="337" spans="1:33" s="76" customFormat="1" ht="33" x14ac:dyDescent="0.3">
      <c r="A337" s="269"/>
      <c r="B337" s="316"/>
      <c r="C337" s="316"/>
      <c r="D337" s="269"/>
      <c r="E337" s="143"/>
      <c r="F337" s="228"/>
      <c r="G337" s="228"/>
      <c r="H337" s="143"/>
      <c r="I337" s="136"/>
      <c r="J337" s="316"/>
      <c r="K337" s="158"/>
      <c r="L337" s="159"/>
      <c r="M337" s="226" t="s">
        <v>523</v>
      </c>
      <c r="N337" s="315" t="s">
        <v>648</v>
      </c>
      <c r="O337" s="196" t="s">
        <v>573</v>
      </c>
      <c r="P337" s="196" t="s">
        <v>573</v>
      </c>
      <c r="Q337" s="338"/>
      <c r="R337" s="196" t="s">
        <v>573</v>
      </c>
      <c r="S337" s="338"/>
      <c r="T337" s="196" t="s">
        <v>573</v>
      </c>
      <c r="U337" s="177"/>
      <c r="V337" s="196" t="s">
        <v>573</v>
      </c>
      <c r="W337" s="177"/>
      <c r="X337" s="196" t="s">
        <v>573</v>
      </c>
      <c r="Y337" s="177"/>
      <c r="Z337" s="196" t="s">
        <v>573</v>
      </c>
      <c r="AA337" s="178"/>
      <c r="AB337" s="316"/>
      <c r="AC337" s="155"/>
      <c r="AD337" s="155"/>
      <c r="AE337" s="156"/>
      <c r="AF337" s="157"/>
      <c r="AG337" s="297"/>
    </row>
    <row r="338" spans="1:33" s="76" customFormat="1" ht="33" x14ac:dyDescent="0.3">
      <c r="A338" s="269"/>
      <c r="B338" s="316"/>
      <c r="C338" s="316"/>
      <c r="D338" s="269"/>
      <c r="E338" s="143"/>
      <c r="F338" s="228"/>
      <c r="G338" s="228"/>
      <c r="H338" s="143"/>
      <c r="I338" s="228"/>
      <c r="J338" s="316"/>
      <c r="K338" s="137" t="s">
        <v>295</v>
      </c>
      <c r="L338" s="314" t="s">
        <v>291</v>
      </c>
      <c r="M338" s="519" t="s">
        <v>650</v>
      </c>
      <c r="N338" s="520"/>
      <c r="O338" s="137"/>
      <c r="P338" s="137"/>
      <c r="Q338" s="338"/>
      <c r="R338" s="137"/>
      <c r="S338" s="338"/>
      <c r="T338" s="137"/>
      <c r="U338" s="177"/>
      <c r="V338" s="137"/>
      <c r="W338" s="177"/>
      <c r="X338" s="137"/>
      <c r="Y338" s="177"/>
      <c r="Z338" s="137"/>
      <c r="AA338" s="178"/>
      <c r="AB338" s="316"/>
      <c r="AC338" s="155"/>
      <c r="AD338" s="155"/>
      <c r="AE338" s="156"/>
      <c r="AF338" s="157"/>
      <c r="AG338" s="297"/>
    </row>
    <row r="339" spans="1:33" s="76" customFormat="1" ht="33" x14ac:dyDescent="0.3">
      <c r="A339" s="269"/>
      <c r="B339" s="179"/>
      <c r="C339" s="179"/>
      <c r="D339" s="298"/>
      <c r="E339" s="180"/>
      <c r="F339" s="238"/>
      <c r="G339" s="238"/>
      <c r="H339" s="180"/>
      <c r="I339" s="238"/>
      <c r="J339" s="179"/>
      <c r="K339" s="183" t="s">
        <v>297</v>
      </c>
      <c r="L339" s="182" t="s">
        <v>291</v>
      </c>
      <c r="M339" s="198" t="s">
        <v>501</v>
      </c>
      <c r="N339" s="227"/>
      <c r="O339" s="183"/>
      <c r="P339" s="183"/>
      <c r="Q339" s="339"/>
      <c r="R339" s="183"/>
      <c r="S339" s="339"/>
      <c r="T339" s="183"/>
      <c r="U339" s="347"/>
      <c r="V339" s="183"/>
      <c r="W339" s="347"/>
      <c r="X339" s="183"/>
      <c r="Y339" s="347"/>
      <c r="Z339" s="183"/>
      <c r="AA339" s="350"/>
      <c r="AB339" s="179"/>
      <c r="AC339" s="187"/>
      <c r="AD339" s="187"/>
      <c r="AE339" s="188"/>
      <c r="AF339" s="189"/>
      <c r="AG339" s="299"/>
    </row>
    <row r="340" spans="1:33" s="76" customFormat="1" x14ac:dyDescent="0.3">
      <c r="A340" s="269"/>
      <c r="B340" s="316"/>
      <c r="C340" s="316"/>
      <c r="D340" s="269"/>
      <c r="E340" s="143"/>
      <c r="F340" s="228"/>
      <c r="G340" s="228"/>
      <c r="H340" s="143"/>
      <c r="I340" s="228"/>
      <c r="J340" s="316"/>
      <c r="K340" s="158"/>
      <c r="L340" s="159"/>
      <c r="M340" s="159"/>
      <c r="N340" s="315"/>
      <c r="O340" s="316"/>
      <c r="P340" s="316"/>
      <c r="Q340" s="338"/>
      <c r="R340" s="316"/>
      <c r="S340" s="338"/>
      <c r="T340" s="316"/>
      <c r="U340" s="177"/>
      <c r="V340" s="316"/>
      <c r="W340" s="177"/>
      <c r="X340" s="316"/>
      <c r="Y340" s="177"/>
      <c r="Z340" s="316"/>
      <c r="AA340" s="178"/>
      <c r="AB340" s="316"/>
      <c r="AC340" s="155"/>
      <c r="AD340" s="155"/>
      <c r="AE340" s="156"/>
      <c r="AF340" s="157"/>
      <c r="AG340" s="297"/>
    </row>
    <row r="341" spans="1:33" s="72" customFormat="1" ht="33" x14ac:dyDescent="0.3">
      <c r="A341" s="269"/>
      <c r="B341" s="316"/>
      <c r="C341" s="316"/>
      <c r="D341" s="269"/>
      <c r="E341" s="143"/>
      <c r="F341" s="228" t="s">
        <v>131</v>
      </c>
      <c r="G341" s="228" t="s">
        <v>131</v>
      </c>
      <c r="H341" s="143">
        <v>11</v>
      </c>
      <c r="I341" s="136">
        <v>3</v>
      </c>
      <c r="J341" s="316" t="s">
        <v>385</v>
      </c>
      <c r="K341" s="158" t="s">
        <v>290</v>
      </c>
      <c r="L341" s="159" t="s">
        <v>291</v>
      </c>
      <c r="M341" s="514" t="s">
        <v>312</v>
      </c>
      <c r="N341" s="515"/>
      <c r="O341" s="316" t="s">
        <v>301</v>
      </c>
      <c r="P341" s="316" t="s">
        <v>301</v>
      </c>
      <c r="Q341" s="338">
        <v>2599952000</v>
      </c>
      <c r="R341" s="316" t="s">
        <v>301</v>
      </c>
      <c r="S341" s="334">
        <f>Q341+(Q341*5%)-600</f>
        <v>2729949000</v>
      </c>
      <c r="T341" s="316" t="s">
        <v>301</v>
      </c>
      <c r="U341" s="334">
        <f>S341+(S341*10%)-900</f>
        <v>3002943000</v>
      </c>
      <c r="V341" s="316" t="s">
        <v>301</v>
      </c>
      <c r="W341" s="334">
        <f>U341+(U341*10%)-300</f>
        <v>3303237000</v>
      </c>
      <c r="X341" s="316" t="s">
        <v>301</v>
      </c>
      <c r="Y341" s="334">
        <f>W341+(W341*10%)-700</f>
        <v>3633560000</v>
      </c>
      <c r="Z341" s="316" t="s">
        <v>301</v>
      </c>
      <c r="AA341" s="178">
        <f>Y341+W341+U341+S341+Q341</f>
        <v>15269641000</v>
      </c>
      <c r="AB341" s="316" t="s">
        <v>66</v>
      </c>
      <c r="AC341" s="155"/>
      <c r="AD341" s="155"/>
      <c r="AE341" s="156"/>
      <c r="AF341" s="157"/>
      <c r="AG341" s="316" t="s">
        <v>66</v>
      </c>
    </row>
    <row r="342" spans="1:33" s="72" customFormat="1" ht="165" x14ac:dyDescent="0.3">
      <c r="A342" s="269"/>
      <c r="B342" s="316"/>
      <c r="C342" s="316"/>
      <c r="D342" s="269"/>
      <c r="E342" s="143"/>
      <c r="F342" s="228"/>
      <c r="G342" s="228"/>
      <c r="H342" s="143"/>
      <c r="I342" s="228"/>
      <c r="J342" s="316"/>
      <c r="K342" s="158" t="s">
        <v>293</v>
      </c>
      <c r="L342" s="159" t="s">
        <v>291</v>
      </c>
      <c r="M342" s="160" t="s">
        <v>299</v>
      </c>
      <c r="N342" s="315" t="s">
        <v>542</v>
      </c>
      <c r="O342" s="316" t="s">
        <v>543</v>
      </c>
      <c r="P342" s="316" t="s">
        <v>543</v>
      </c>
      <c r="Q342" s="338"/>
      <c r="R342" s="316" t="s">
        <v>543</v>
      </c>
      <c r="S342" s="338"/>
      <c r="T342" s="316" t="s">
        <v>543</v>
      </c>
      <c r="U342" s="177"/>
      <c r="V342" s="316" t="s">
        <v>543</v>
      </c>
      <c r="W342" s="177"/>
      <c r="X342" s="316" t="s">
        <v>543</v>
      </c>
      <c r="Y342" s="177"/>
      <c r="Z342" s="316" t="s">
        <v>543</v>
      </c>
      <c r="AA342" s="178"/>
      <c r="AB342" s="316"/>
      <c r="AC342" s="155"/>
      <c r="AD342" s="155"/>
      <c r="AE342" s="156"/>
      <c r="AF342" s="157"/>
      <c r="AG342" s="297"/>
    </row>
    <row r="343" spans="1:33" s="72" customFormat="1" ht="49.5" x14ac:dyDescent="0.3">
      <c r="A343" s="269"/>
      <c r="B343" s="316"/>
      <c r="C343" s="316"/>
      <c r="D343" s="269"/>
      <c r="E343" s="143"/>
      <c r="F343" s="228"/>
      <c r="G343" s="228"/>
      <c r="H343" s="143"/>
      <c r="I343" s="136"/>
      <c r="J343" s="316"/>
      <c r="K343" s="158"/>
      <c r="L343" s="159"/>
      <c r="M343" s="160" t="s">
        <v>303</v>
      </c>
      <c r="N343" s="205" t="s">
        <v>651</v>
      </c>
      <c r="O343" s="316" t="s">
        <v>652</v>
      </c>
      <c r="P343" s="316" t="s">
        <v>652</v>
      </c>
      <c r="Q343" s="338"/>
      <c r="R343" s="316" t="s">
        <v>652</v>
      </c>
      <c r="S343" s="338"/>
      <c r="T343" s="316" t="s">
        <v>652</v>
      </c>
      <c r="U343" s="177"/>
      <c r="V343" s="316" t="s">
        <v>652</v>
      </c>
      <c r="W343" s="177"/>
      <c r="X343" s="316" t="s">
        <v>652</v>
      </c>
      <c r="Y343" s="177"/>
      <c r="Z343" s="316" t="s">
        <v>652</v>
      </c>
      <c r="AA343" s="178"/>
      <c r="AB343" s="316"/>
      <c r="AC343" s="155"/>
      <c r="AD343" s="155"/>
      <c r="AE343" s="156"/>
      <c r="AF343" s="157"/>
      <c r="AG343" s="297"/>
    </row>
    <row r="344" spans="1:33" s="72" customFormat="1" ht="33" x14ac:dyDescent="0.3">
      <c r="A344" s="269"/>
      <c r="B344" s="316"/>
      <c r="C344" s="316"/>
      <c r="D344" s="269"/>
      <c r="E344" s="143"/>
      <c r="F344" s="143"/>
      <c r="G344" s="143"/>
      <c r="H344" s="143"/>
      <c r="I344" s="143"/>
      <c r="J344" s="316"/>
      <c r="K344" s="158"/>
      <c r="L344" s="159"/>
      <c r="M344" s="160" t="s">
        <v>318</v>
      </c>
      <c r="N344" s="205" t="s">
        <v>653</v>
      </c>
      <c r="O344" s="316" t="s">
        <v>654</v>
      </c>
      <c r="P344" s="316" t="s">
        <v>654</v>
      </c>
      <c r="Q344" s="338"/>
      <c r="R344" s="316" t="s">
        <v>654</v>
      </c>
      <c r="S344" s="338"/>
      <c r="T344" s="316" t="s">
        <v>654</v>
      </c>
      <c r="U344" s="177"/>
      <c r="V344" s="316" t="s">
        <v>654</v>
      </c>
      <c r="W344" s="177"/>
      <c r="X344" s="316" t="s">
        <v>654</v>
      </c>
      <c r="Y344" s="177"/>
      <c r="Z344" s="316" t="s">
        <v>654</v>
      </c>
      <c r="AA344" s="178"/>
      <c r="AB344" s="316"/>
      <c r="AC344" s="155"/>
      <c r="AD344" s="155"/>
      <c r="AE344" s="156"/>
      <c r="AF344" s="157"/>
      <c r="AG344" s="297"/>
    </row>
    <row r="345" spans="1:33" s="72" customFormat="1" ht="49.5" x14ac:dyDescent="0.3">
      <c r="A345" s="269"/>
      <c r="B345" s="316"/>
      <c r="C345" s="316"/>
      <c r="D345" s="269"/>
      <c r="E345" s="143"/>
      <c r="F345" s="143"/>
      <c r="G345" s="143"/>
      <c r="H345" s="143"/>
      <c r="I345" s="143"/>
      <c r="J345" s="316"/>
      <c r="K345" s="158"/>
      <c r="L345" s="159"/>
      <c r="M345" s="160" t="s">
        <v>331</v>
      </c>
      <c r="N345" s="205" t="s">
        <v>655</v>
      </c>
      <c r="O345" s="206" t="s">
        <v>656</v>
      </c>
      <c r="P345" s="206" t="s">
        <v>656</v>
      </c>
      <c r="Q345" s="338"/>
      <c r="R345" s="206" t="s">
        <v>656</v>
      </c>
      <c r="S345" s="338"/>
      <c r="T345" s="206" t="s">
        <v>656</v>
      </c>
      <c r="U345" s="177"/>
      <c r="V345" s="206" t="s">
        <v>656</v>
      </c>
      <c r="W345" s="177"/>
      <c r="X345" s="206" t="s">
        <v>656</v>
      </c>
      <c r="Y345" s="177"/>
      <c r="Z345" s="206" t="s">
        <v>656</v>
      </c>
      <c r="AA345" s="178"/>
      <c r="AB345" s="316"/>
      <c r="AC345" s="155"/>
      <c r="AD345" s="155"/>
      <c r="AE345" s="156"/>
      <c r="AF345" s="157"/>
      <c r="AG345" s="297"/>
    </row>
    <row r="346" spans="1:33" s="72" customFormat="1" ht="49.5" x14ac:dyDescent="0.3">
      <c r="A346" s="269"/>
      <c r="B346" s="316"/>
      <c r="C346" s="316"/>
      <c r="D346" s="269"/>
      <c r="E346" s="143"/>
      <c r="F346" s="143"/>
      <c r="G346" s="143"/>
      <c r="H346" s="143"/>
      <c r="I346" s="143"/>
      <c r="J346" s="316"/>
      <c r="K346" s="158"/>
      <c r="L346" s="159"/>
      <c r="M346" s="160" t="s">
        <v>353</v>
      </c>
      <c r="N346" s="205" t="s">
        <v>657</v>
      </c>
      <c r="O346" s="206" t="s">
        <v>658</v>
      </c>
      <c r="P346" s="206" t="s">
        <v>658</v>
      </c>
      <c r="Q346" s="338"/>
      <c r="R346" s="206" t="s">
        <v>658</v>
      </c>
      <c r="S346" s="338"/>
      <c r="T346" s="206" t="s">
        <v>658</v>
      </c>
      <c r="U346" s="177"/>
      <c r="V346" s="206" t="s">
        <v>658</v>
      </c>
      <c r="W346" s="177"/>
      <c r="X346" s="206" t="s">
        <v>658</v>
      </c>
      <c r="Y346" s="177"/>
      <c r="Z346" s="206" t="s">
        <v>658</v>
      </c>
      <c r="AA346" s="178"/>
      <c r="AB346" s="316"/>
      <c r="AC346" s="155"/>
      <c r="AD346" s="155"/>
      <c r="AE346" s="156"/>
      <c r="AF346" s="157"/>
      <c r="AG346" s="297"/>
    </row>
    <row r="347" spans="1:33" s="72" customFormat="1" ht="49.5" x14ac:dyDescent="0.3">
      <c r="A347" s="269"/>
      <c r="B347" s="316"/>
      <c r="C347" s="316"/>
      <c r="D347" s="269"/>
      <c r="E347" s="143"/>
      <c r="F347" s="143"/>
      <c r="G347" s="143"/>
      <c r="H347" s="143"/>
      <c r="I347" s="143"/>
      <c r="J347" s="316"/>
      <c r="K347" s="158"/>
      <c r="L347" s="159"/>
      <c r="M347" s="160" t="s">
        <v>352</v>
      </c>
      <c r="N347" s="205" t="s">
        <v>659</v>
      </c>
      <c r="O347" s="206" t="s">
        <v>660</v>
      </c>
      <c r="P347" s="206" t="s">
        <v>660</v>
      </c>
      <c r="Q347" s="338"/>
      <c r="R347" s="206" t="s">
        <v>660</v>
      </c>
      <c r="S347" s="338"/>
      <c r="T347" s="206" t="s">
        <v>660</v>
      </c>
      <c r="U347" s="177"/>
      <c r="V347" s="206" t="s">
        <v>660</v>
      </c>
      <c r="W347" s="177"/>
      <c r="X347" s="206" t="s">
        <v>660</v>
      </c>
      <c r="Y347" s="177"/>
      <c r="Z347" s="206" t="s">
        <v>660</v>
      </c>
      <c r="AA347" s="178"/>
      <c r="AB347" s="316"/>
      <c r="AC347" s="155"/>
      <c r="AD347" s="155"/>
      <c r="AE347" s="156"/>
      <c r="AF347" s="157"/>
      <c r="AG347" s="297"/>
    </row>
    <row r="348" spans="1:33" s="72" customFormat="1" ht="66" x14ac:dyDescent="0.3">
      <c r="A348" s="269"/>
      <c r="B348" s="316"/>
      <c r="C348" s="316"/>
      <c r="D348" s="269"/>
      <c r="E348" s="143"/>
      <c r="F348" s="143"/>
      <c r="G348" s="143"/>
      <c r="H348" s="143"/>
      <c r="I348" s="143"/>
      <c r="J348" s="316"/>
      <c r="K348" s="137"/>
      <c r="L348" s="314"/>
      <c r="M348" s="226" t="s">
        <v>402</v>
      </c>
      <c r="N348" s="315" t="s">
        <v>661</v>
      </c>
      <c r="O348" s="316" t="s">
        <v>662</v>
      </c>
      <c r="P348" s="316" t="s">
        <v>662</v>
      </c>
      <c r="Q348" s="338"/>
      <c r="R348" s="316" t="s">
        <v>662</v>
      </c>
      <c r="S348" s="338"/>
      <c r="T348" s="316" t="s">
        <v>662</v>
      </c>
      <c r="U348" s="177"/>
      <c r="V348" s="316" t="s">
        <v>662</v>
      </c>
      <c r="W348" s="177"/>
      <c r="X348" s="316" t="s">
        <v>662</v>
      </c>
      <c r="Y348" s="177"/>
      <c r="Z348" s="316" t="s">
        <v>662</v>
      </c>
      <c r="AA348" s="178"/>
      <c r="AB348" s="316"/>
      <c r="AC348" s="155"/>
      <c r="AD348" s="155"/>
      <c r="AE348" s="156"/>
      <c r="AF348" s="157"/>
      <c r="AG348" s="297"/>
    </row>
    <row r="349" spans="1:33" s="72" customFormat="1" ht="99" x14ac:dyDescent="0.3">
      <c r="A349" s="269"/>
      <c r="B349" s="316"/>
      <c r="C349" s="316"/>
      <c r="D349" s="269"/>
      <c r="E349" s="143"/>
      <c r="F349" s="143"/>
      <c r="G349" s="143"/>
      <c r="H349" s="143"/>
      <c r="I349" s="143"/>
      <c r="J349" s="316"/>
      <c r="K349" s="137"/>
      <c r="L349" s="314"/>
      <c r="M349" s="226" t="s">
        <v>453</v>
      </c>
      <c r="N349" s="205" t="s">
        <v>663</v>
      </c>
      <c r="O349" s="206" t="s">
        <v>664</v>
      </c>
      <c r="P349" s="206" t="s">
        <v>664</v>
      </c>
      <c r="Q349" s="338"/>
      <c r="R349" s="206" t="s">
        <v>664</v>
      </c>
      <c r="S349" s="338"/>
      <c r="T349" s="206" t="s">
        <v>664</v>
      </c>
      <c r="U349" s="177"/>
      <c r="V349" s="206" t="s">
        <v>664</v>
      </c>
      <c r="W349" s="177"/>
      <c r="X349" s="206" t="s">
        <v>664</v>
      </c>
      <c r="Y349" s="177"/>
      <c r="Z349" s="206" t="s">
        <v>664</v>
      </c>
      <c r="AA349" s="178"/>
      <c r="AB349" s="316"/>
      <c r="AC349" s="155"/>
      <c r="AD349" s="155"/>
      <c r="AE349" s="156"/>
      <c r="AF349" s="157"/>
      <c r="AG349" s="297"/>
    </row>
    <row r="350" spans="1:33" s="72" customFormat="1" ht="66" x14ac:dyDescent="0.3">
      <c r="A350" s="269"/>
      <c r="B350" s="316"/>
      <c r="C350" s="316"/>
      <c r="D350" s="269"/>
      <c r="E350" s="143"/>
      <c r="F350" s="143"/>
      <c r="G350" s="143"/>
      <c r="H350" s="143"/>
      <c r="I350" s="143"/>
      <c r="J350" s="316"/>
      <c r="K350" s="137"/>
      <c r="L350" s="314"/>
      <c r="M350" s="226" t="s">
        <v>454</v>
      </c>
      <c r="N350" s="205" t="s">
        <v>665</v>
      </c>
      <c r="O350" s="206" t="s">
        <v>666</v>
      </c>
      <c r="P350" s="206" t="s">
        <v>666</v>
      </c>
      <c r="Q350" s="338"/>
      <c r="R350" s="206" t="s">
        <v>666</v>
      </c>
      <c r="S350" s="338"/>
      <c r="T350" s="206" t="s">
        <v>666</v>
      </c>
      <c r="U350" s="177"/>
      <c r="V350" s="206" t="s">
        <v>666</v>
      </c>
      <c r="W350" s="177"/>
      <c r="X350" s="206" t="s">
        <v>666</v>
      </c>
      <c r="Y350" s="177"/>
      <c r="Z350" s="206" t="s">
        <v>666</v>
      </c>
      <c r="AA350" s="178"/>
      <c r="AB350" s="316"/>
      <c r="AC350" s="155"/>
      <c r="AD350" s="155"/>
      <c r="AE350" s="156"/>
      <c r="AF350" s="157"/>
      <c r="AG350" s="297"/>
    </row>
    <row r="351" spans="1:33" s="72" customFormat="1" ht="99" x14ac:dyDescent="0.3">
      <c r="A351" s="269"/>
      <c r="B351" s="316"/>
      <c r="C351" s="316"/>
      <c r="D351" s="269"/>
      <c r="E351" s="143"/>
      <c r="F351" s="143"/>
      <c r="G351" s="143"/>
      <c r="H351" s="143"/>
      <c r="I351" s="143"/>
      <c r="J351" s="316"/>
      <c r="K351" s="137"/>
      <c r="L351" s="314"/>
      <c r="M351" s="226" t="s">
        <v>521</v>
      </c>
      <c r="N351" s="205" t="s">
        <v>667</v>
      </c>
      <c r="O351" s="206" t="s">
        <v>668</v>
      </c>
      <c r="P351" s="206" t="s">
        <v>668</v>
      </c>
      <c r="Q351" s="338"/>
      <c r="R351" s="206" t="s">
        <v>668</v>
      </c>
      <c r="S351" s="338"/>
      <c r="T351" s="206" t="s">
        <v>668</v>
      </c>
      <c r="U351" s="177"/>
      <c r="V351" s="206" t="s">
        <v>668</v>
      </c>
      <c r="W351" s="177"/>
      <c r="X351" s="206" t="s">
        <v>668</v>
      </c>
      <c r="Y351" s="177"/>
      <c r="Z351" s="206" t="s">
        <v>668</v>
      </c>
      <c r="AA351" s="178"/>
      <c r="AB351" s="316"/>
      <c r="AC351" s="155"/>
      <c r="AD351" s="155"/>
      <c r="AE351" s="156"/>
      <c r="AF351" s="157"/>
      <c r="AG351" s="297"/>
    </row>
    <row r="352" spans="1:33" s="72" customFormat="1" ht="82.5" x14ac:dyDescent="0.3">
      <c r="A352" s="269"/>
      <c r="B352" s="316"/>
      <c r="C352" s="316"/>
      <c r="D352" s="269"/>
      <c r="E352" s="143"/>
      <c r="F352" s="143"/>
      <c r="G352" s="143"/>
      <c r="H352" s="143"/>
      <c r="I352" s="143"/>
      <c r="J352" s="316"/>
      <c r="K352" s="137"/>
      <c r="L352" s="314"/>
      <c r="M352" s="226" t="s">
        <v>522</v>
      </c>
      <c r="N352" s="205" t="s">
        <v>669</v>
      </c>
      <c r="O352" s="206" t="s">
        <v>670</v>
      </c>
      <c r="P352" s="206" t="s">
        <v>670</v>
      </c>
      <c r="Q352" s="338"/>
      <c r="R352" s="206" t="s">
        <v>670</v>
      </c>
      <c r="S352" s="338"/>
      <c r="T352" s="206" t="s">
        <v>670</v>
      </c>
      <c r="U352" s="177"/>
      <c r="V352" s="206" t="s">
        <v>670</v>
      </c>
      <c r="W352" s="177"/>
      <c r="X352" s="206" t="s">
        <v>670</v>
      </c>
      <c r="Y352" s="177"/>
      <c r="Z352" s="206" t="s">
        <v>670</v>
      </c>
      <c r="AA352" s="178"/>
      <c r="AB352" s="316"/>
      <c r="AC352" s="155"/>
      <c r="AD352" s="155"/>
      <c r="AE352" s="156"/>
      <c r="AF352" s="157"/>
      <c r="AG352" s="297"/>
    </row>
    <row r="353" spans="1:33" s="72" customFormat="1" ht="33" x14ac:dyDescent="0.3">
      <c r="A353" s="269"/>
      <c r="B353" s="316"/>
      <c r="C353" s="316"/>
      <c r="D353" s="269"/>
      <c r="E353" s="143"/>
      <c r="F353" s="143"/>
      <c r="G353" s="143"/>
      <c r="H353" s="143"/>
      <c r="I353" s="143"/>
      <c r="J353" s="316"/>
      <c r="K353" s="137"/>
      <c r="L353" s="314"/>
      <c r="M353" s="226" t="s">
        <v>523</v>
      </c>
      <c r="N353" s="205" t="s">
        <v>671</v>
      </c>
      <c r="O353" s="206" t="s">
        <v>360</v>
      </c>
      <c r="P353" s="206" t="s">
        <v>360</v>
      </c>
      <c r="Q353" s="338"/>
      <c r="R353" s="206" t="s">
        <v>360</v>
      </c>
      <c r="S353" s="338"/>
      <c r="T353" s="206" t="s">
        <v>360</v>
      </c>
      <c r="U353" s="177"/>
      <c r="V353" s="206" t="s">
        <v>360</v>
      </c>
      <c r="W353" s="177"/>
      <c r="X353" s="206" t="s">
        <v>360</v>
      </c>
      <c r="Y353" s="177"/>
      <c r="Z353" s="206" t="s">
        <v>360</v>
      </c>
      <c r="AA353" s="178"/>
      <c r="AB353" s="316"/>
      <c r="AC353" s="155"/>
      <c r="AD353" s="155"/>
      <c r="AE353" s="156"/>
      <c r="AF353" s="157"/>
      <c r="AG353" s="297"/>
    </row>
    <row r="354" spans="1:33" s="72" customFormat="1" ht="66" x14ac:dyDescent="0.3">
      <c r="A354" s="269"/>
      <c r="B354" s="316"/>
      <c r="C354" s="316"/>
      <c r="D354" s="269"/>
      <c r="E354" s="143"/>
      <c r="F354" s="143"/>
      <c r="G354" s="143"/>
      <c r="H354" s="143"/>
      <c r="I354" s="143"/>
      <c r="J354" s="316"/>
      <c r="K354" s="137"/>
      <c r="L354" s="314"/>
      <c r="M354" s="226" t="s">
        <v>524</v>
      </c>
      <c r="N354" s="205" t="s">
        <v>672</v>
      </c>
      <c r="O354" s="206" t="s">
        <v>673</v>
      </c>
      <c r="P354" s="206" t="s">
        <v>673</v>
      </c>
      <c r="Q354" s="338"/>
      <c r="R354" s="206" t="s">
        <v>673</v>
      </c>
      <c r="S354" s="338"/>
      <c r="T354" s="206" t="s">
        <v>673</v>
      </c>
      <c r="U354" s="177"/>
      <c r="V354" s="206" t="s">
        <v>673</v>
      </c>
      <c r="W354" s="177"/>
      <c r="X354" s="206" t="s">
        <v>673</v>
      </c>
      <c r="Y354" s="177"/>
      <c r="Z354" s="206" t="s">
        <v>673</v>
      </c>
      <c r="AA354" s="178"/>
      <c r="AB354" s="316"/>
      <c r="AC354" s="155"/>
      <c r="AD354" s="155"/>
      <c r="AE354" s="156"/>
      <c r="AF354" s="157"/>
      <c r="AG354" s="297"/>
    </row>
    <row r="355" spans="1:33" s="72" customFormat="1" ht="66" x14ac:dyDescent="0.3">
      <c r="A355" s="269"/>
      <c r="B355" s="316"/>
      <c r="C355" s="316"/>
      <c r="D355" s="269"/>
      <c r="E355" s="143"/>
      <c r="F355" s="143"/>
      <c r="G355" s="143"/>
      <c r="H355" s="143"/>
      <c r="I355" s="143"/>
      <c r="J355" s="316"/>
      <c r="K355" s="137"/>
      <c r="L355" s="314"/>
      <c r="M355" s="226" t="s">
        <v>563</v>
      </c>
      <c r="N355" s="205" t="s">
        <v>674</v>
      </c>
      <c r="O355" s="206" t="s">
        <v>675</v>
      </c>
      <c r="P355" s="206" t="s">
        <v>675</v>
      </c>
      <c r="Q355" s="338"/>
      <c r="R355" s="206" t="s">
        <v>675</v>
      </c>
      <c r="S355" s="338"/>
      <c r="T355" s="206" t="s">
        <v>675</v>
      </c>
      <c r="U355" s="177"/>
      <c r="V355" s="206" t="s">
        <v>675</v>
      </c>
      <c r="W355" s="177"/>
      <c r="X355" s="206" t="s">
        <v>675</v>
      </c>
      <c r="Y355" s="177"/>
      <c r="Z355" s="206" t="s">
        <v>675</v>
      </c>
      <c r="AA355" s="178"/>
      <c r="AB355" s="316"/>
      <c r="AC355" s="155"/>
      <c r="AD355" s="155"/>
      <c r="AE355" s="156"/>
      <c r="AF355" s="157"/>
      <c r="AG355" s="297"/>
    </row>
    <row r="356" spans="1:33" s="72" customFormat="1" ht="82.5" x14ac:dyDescent="0.3">
      <c r="A356" s="269"/>
      <c r="B356" s="316"/>
      <c r="C356" s="316"/>
      <c r="D356" s="269"/>
      <c r="E356" s="143"/>
      <c r="F356" s="143"/>
      <c r="G356" s="143"/>
      <c r="H356" s="143"/>
      <c r="I356" s="143"/>
      <c r="J356" s="316"/>
      <c r="K356" s="158" t="s">
        <v>294</v>
      </c>
      <c r="L356" s="159" t="s">
        <v>291</v>
      </c>
      <c r="M356" s="226" t="s">
        <v>299</v>
      </c>
      <c r="N356" s="315" t="s">
        <v>571</v>
      </c>
      <c r="O356" s="316" t="s">
        <v>543</v>
      </c>
      <c r="P356" s="316" t="s">
        <v>543</v>
      </c>
      <c r="Q356" s="338"/>
      <c r="R356" s="316" t="s">
        <v>543</v>
      </c>
      <c r="S356" s="338"/>
      <c r="T356" s="316" t="s">
        <v>543</v>
      </c>
      <c r="U356" s="177"/>
      <c r="V356" s="316" t="s">
        <v>543</v>
      </c>
      <c r="W356" s="177"/>
      <c r="X356" s="316" t="s">
        <v>543</v>
      </c>
      <c r="Y356" s="177"/>
      <c r="Z356" s="316" t="s">
        <v>543</v>
      </c>
      <c r="AA356" s="178"/>
      <c r="AB356" s="316"/>
      <c r="AC356" s="155"/>
      <c r="AD356" s="155"/>
      <c r="AE356" s="156"/>
      <c r="AF356" s="157"/>
      <c r="AG356" s="297"/>
    </row>
    <row r="357" spans="1:33" s="72" customFormat="1" ht="49.5" x14ac:dyDescent="0.3">
      <c r="A357" s="269"/>
      <c r="B357" s="316"/>
      <c r="C357" s="316"/>
      <c r="D357" s="269"/>
      <c r="E357" s="143"/>
      <c r="F357" s="143"/>
      <c r="G357" s="143"/>
      <c r="H357" s="143"/>
      <c r="I357" s="143"/>
      <c r="J357" s="316"/>
      <c r="K357" s="158"/>
      <c r="L357" s="159"/>
      <c r="M357" s="226" t="s">
        <v>303</v>
      </c>
      <c r="N357" s="315" t="s">
        <v>676</v>
      </c>
      <c r="O357" s="316" t="s">
        <v>652</v>
      </c>
      <c r="P357" s="316" t="s">
        <v>652</v>
      </c>
      <c r="Q357" s="338"/>
      <c r="R357" s="316" t="s">
        <v>652</v>
      </c>
      <c r="S357" s="338"/>
      <c r="T357" s="316" t="s">
        <v>652</v>
      </c>
      <c r="U357" s="177"/>
      <c r="V357" s="316" t="s">
        <v>652</v>
      </c>
      <c r="W357" s="177"/>
      <c r="X357" s="316" t="s">
        <v>652</v>
      </c>
      <c r="Y357" s="177"/>
      <c r="Z357" s="316" t="s">
        <v>652</v>
      </c>
      <c r="AA357" s="178"/>
      <c r="AB357" s="316"/>
      <c r="AC357" s="155"/>
      <c r="AD357" s="155"/>
      <c r="AE357" s="156"/>
      <c r="AF357" s="157"/>
      <c r="AG357" s="297"/>
    </row>
    <row r="358" spans="1:33" s="72" customFormat="1" ht="82.5" x14ac:dyDescent="0.3">
      <c r="A358" s="269"/>
      <c r="B358" s="316"/>
      <c r="C358" s="316"/>
      <c r="D358" s="269"/>
      <c r="E358" s="143"/>
      <c r="F358" s="143"/>
      <c r="G358" s="143"/>
      <c r="H358" s="143"/>
      <c r="I358" s="143"/>
      <c r="J358" s="316"/>
      <c r="K358" s="158"/>
      <c r="L358" s="159"/>
      <c r="M358" s="226" t="s">
        <v>318</v>
      </c>
      <c r="N358" s="315" t="s">
        <v>677</v>
      </c>
      <c r="O358" s="316" t="s">
        <v>654</v>
      </c>
      <c r="P358" s="316" t="s">
        <v>654</v>
      </c>
      <c r="Q358" s="338"/>
      <c r="R358" s="316" t="s">
        <v>654</v>
      </c>
      <c r="S358" s="338"/>
      <c r="T358" s="316" t="s">
        <v>654</v>
      </c>
      <c r="U358" s="177"/>
      <c r="V358" s="316" t="s">
        <v>654</v>
      </c>
      <c r="W358" s="177"/>
      <c r="X358" s="316" t="s">
        <v>654</v>
      </c>
      <c r="Y358" s="177"/>
      <c r="Z358" s="316" t="s">
        <v>654</v>
      </c>
      <c r="AA358" s="178"/>
      <c r="AB358" s="316"/>
      <c r="AC358" s="155"/>
      <c r="AD358" s="155"/>
      <c r="AE358" s="156"/>
      <c r="AF358" s="157"/>
      <c r="AG358" s="297"/>
    </row>
    <row r="359" spans="1:33" s="72" customFormat="1" ht="66" x14ac:dyDescent="0.3">
      <c r="A359" s="269"/>
      <c r="B359" s="316"/>
      <c r="C359" s="316"/>
      <c r="D359" s="269"/>
      <c r="E359" s="143"/>
      <c r="F359" s="143"/>
      <c r="G359" s="143"/>
      <c r="H359" s="143"/>
      <c r="I359" s="143"/>
      <c r="J359" s="316"/>
      <c r="K359" s="158"/>
      <c r="L359" s="159"/>
      <c r="M359" s="226" t="s">
        <v>331</v>
      </c>
      <c r="N359" s="315" t="s">
        <v>678</v>
      </c>
      <c r="O359" s="206" t="s">
        <v>656</v>
      </c>
      <c r="P359" s="206" t="s">
        <v>656</v>
      </c>
      <c r="Q359" s="338"/>
      <c r="R359" s="206" t="s">
        <v>656</v>
      </c>
      <c r="S359" s="338"/>
      <c r="T359" s="206" t="s">
        <v>656</v>
      </c>
      <c r="U359" s="177"/>
      <c r="V359" s="206" t="s">
        <v>656</v>
      </c>
      <c r="W359" s="177"/>
      <c r="X359" s="206" t="s">
        <v>656</v>
      </c>
      <c r="Y359" s="177"/>
      <c r="Z359" s="206" t="s">
        <v>656</v>
      </c>
      <c r="AA359" s="178"/>
      <c r="AB359" s="316"/>
      <c r="AC359" s="155"/>
      <c r="AD359" s="155"/>
      <c r="AE359" s="156"/>
      <c r="AF359" s="157"/>
      <c r="AG359" s="297"/>
    </row>
    <row r="360" spans="1:33" s="72" customFormat="1" ht="33" x14ac:dyDescent="0.3">
      <c r="A360" s="269"/>
      <c r="B360" s="316"/>
      <c r="C360" s="316"/>
      <c r="D360" s="269"/>
      <c r="E360" s="143"/>
      <c r="F360" s="143"/>
      <c r="G360" s="143"/>
      <c r="H360" s="143"/>
      <c r="I360" s="143"/>
      <c r="J360" s="316"/>
      <c r="K360" s="158"/>
      <c r="L360" s="159"/>
      <c r="M360" s="226" t="s">
        <v>353</v>
      </c>
      <c r="N360" s="315" t="s">
        <v>680</v>
      </c>
      <c r="O360" s="206" t="s">
        <v>658</v>
      </c>
      <c r="P360" s="206" t="s">
        <v>658</v>
      </c>
      <c r="Q360" s="338"/>
      <c r="R360" s="206" t="s">
        <v>658</v>
      </c>
      <c r="S360" s="338"/>
      <c r="T360" s="206" t="s">
        <v>658</v>
      </c>
      <c r="U360" s="177"/>
      <c r="V360" s="206" t="s">
        <v>658</v>
      </c>
      <c r="W360" s="177"/>
      <c r="X360" s="206" t="s">
        <v>658</v>
      </c>
      <c r="Y360" s="177"/>
      <c r="Z360" s="206" t="s">
        <v>658</v>
      </c>
      <c r="AA360" s="178"/>
      <c r="AB360" s="316"/>
      <c r="AC360" s="155"/>
      <c r="AD360" s="155"/>
      <c r="AE360" s="156"/>
      <c r="AF360" s="157"/>
      <c r="AG360" s="297"/>
    </row>
    <row r="361" spans="1:33" s="72" customFormat="1" ht="49.5" x14ac:dyDescent="0.3">
      <c r="A361" s="269"/>
      <c r="B361" s="316"/>
      <c r="C361" s="316"/>
      <c r="D361" s="269"/>
      <c r="E361" s="143"/>
      <c r="F361" s="143"/>
      <c r="G361" s="143"/>
      <c r="H361" s="143"/>
      <c r="I361" s="143"/>
      <c r="J361" s="316"/>
      <c r="K361" s="158"/>
      <c r="L361" s="159"/>
      <c r="M361" s="226" t="s">
        <v>352</v>
      </c>
      <c r="N361" s="315" t="s">
        <v>681</v>
      </c>
      <c r="O361" s="206" t="s">
        <v>660</v>
      </c>
      <c r="P361" s="206" t="s">
        <v>660</v>
      </c>
      <c r="Q361" s="338"/>
      <c r="R361" s="206" t="s">
        <v>660</v>
      </c>
      <c r="S361" s="338"/>
      <c r="T361" s="206" t="s">
        <v>660</v>
      </c>
      <c r="U361" s="177"/>
      <c r="V361" s="206" t="s">
        <v>660</v>
      </c>
      <c r="W361" s="177"/>
      <c r="X361" s="206" t="s">
        <v>660</v>
      </c>
      <c r="Y361" s="177"/>
      <c r="Z361" s="206" t="s">
        <v>660</v>
      </c>
      <c r="AA361" s="178"/>
      <c r="AB361" s="316"/>
      <c r="AC361" s="155"/>
      <c r="AD361" s="155"/>
      <c r="AE361" s="156"/>
      <c r="AF361" s="157"/>
      <c r="AG361" s="297"/>
    </row>
    <row r="362" spans="1:33" s="72" customFormat="1" x14ac:dyDescent="0.3">
      <c r="A362" s="269"/>
      <c r="B362" s="316"/>
      <c r="C362" s="316"/>
      <c r="D362" s="269"/>
      <c r="E362" s="143"/>
      <c r="F362" s="143"/>
      <c r="G362" s="143"/>
      <c r="H362" s="143"/>
      <c r="I362" s="143"/>
      <c r="J362" s="316"/>
      <c r="K362" s="158"/>
      <c r="L362" s="159"/>
      <c r="M362" s="226" t="s">
        <v>402</v>
      </c>
      <c r="N362" s="315"/>
      <c r="O362" s="316"/>
      <c r="P362" s="316"/>
      <c r="Q362" s="338"/>
      <c r="R362" s="316"/>
      <c r="S362" s="338"/>
      <c r="T362" s="316"/>
      <c r="U362" s="177"/>
      <c r="V362" s="316"/>
      <c r="W362" s="177"/>
      <c r="X362" s="316"/>
      <c r="Y362" s="177"/>
      <c r="Z362" s="316"/>
      <c r="AA362" s="178"/>
      <c r="AB362" s="316"/>
      <c r="AC362" s="155"/>
      <c r="AD362" s="155"/>
      <c r="AE362" s="156"/>
      <c r="AF362" s="157"/>
      <c r="AG362" s="297"/>
    </row>
    <row r="363" spans="1:33" s="72" customFormat="1" ht="66" x14ac:dyDescent="0.3">
      <c r="A363" s="269"/>
      <c r="B363" s="316"/>
      <c r="C363" s="316"/>
      <c r="D363" s="269"/>
      <c r="E363" s="143"/>
      <c r="F363" s="143"/>
      <c r="G363" s="143"/>
      <c r="H363" s="143"/>
      <c r="I363" s="143"/>
      <c r="J363" s="316"/>
      <c r="K363" s="158"/>
      <c r="L363" s="159"/>
      <c r="M363" s="226" t="s">
        <v>453</v>
      </c>
      <c r="N363" s="315" t="s">
        <v>682</v>
      </c>
      <c r="O363" s="316" t="s">
        <v>662</v>
      </c>
      <c r="P363" s="316" t="s">
        <v>662</v>
      </c>
      <c r="Q363" s="338"/>
      <c r="R363" s="316" t="s">
        <v>662</v>
      </c>
      <c r="S363" s="338"/>
      <c r="T363" s="316" t="s">
        <v>662</v>
      </c>
      <c r="U363" s="177"/>
      <c r="V363" s="316" t="s">
        <v>662</v>
      </c>
      <c r="W363" s="177"/>
      <c r="X363" s="316" t="s">
        <v>662</v>
      </c>
      <c r="Y363" s="177"/>
      <c r="Z363" s="316" t="s">
        <v>662</v>
      </c>
      <c r="AA363" s="178"/>
      <c r="AB363" s="316"/>
      <c r="AC363" s="155"/>
      <c r="AD363" s="155"/>
      <c r="AE363" s="156"/>
      <c r="AF363" s="157"/>
      <c r="AG363" s="297"/>
    </row>
    <row r="364" spans="1:33" s="72" customFormat="1" ht="33" x14ac:dyDescent="0.3">
      <c r="A364" s="269"/>
      <c r="B364" s="316"/>
      <c r="C364" s="316"/>
      <c r="D364" s="269"/>
      <c r="E364" s="143"/>
      <c r="F364" s="143"/>
      <c r="G364" s="143"/>
      <c r="H364" s="143"/>
      <c r="I364" s="143"/>
      <c r="J364" s="316"/>
      <c r="K364" s="158"/>
      <c r="L364" s="159"/>
      <c r="M364" s="226" t="s">
        <v>454</v>
      </c>
      <c r="N364" s="315" t="s">
        <v>683</v>
      </c>
      <c r="O364" s="206" t="s">
        <v>664</v>
      </c>
      <c r="P364" s="206" t="s">
        <v>664</v>
      </c>
      <c r="Q364" s="338"/>
      <c r="R364" s="206" t="s">
        <v>664</v>
      </c>
      <c r="S364" s="338"/>
      <c r="T364" s="206" t="s">
        <v>664</v>
      </c>
      <c r="U364" s="177"/>
      <c r="V364" s="206" t="s">
        <v>664</v>
      </c>
      <c r="W364" s="177"/>
      <c r="X364" s="206" t="s">
        <v>664</v>
      </c>
      <c r="Y364" s="177"/>
      <c r="Z364" s="206" t="s">
        <v>664</v>
      </c>
      <c r="AA364" s="178"/>
      <c r="AB364" s="316"/>
      <c r="AC364" s="155"/>
      <c r="AD364" s="155"/>
      <c r="AE364" s="156"/>
      <c r="AF364" s="157"/>
      <c r="AG364" s="297"/>
    </row>
    <row r="365" spans="1:33" s="72" customFormat="1" ht="49.5" x14ac:dyDescent="0.3">
      <c r="A365" s="269"/>
      <c r="B365" s="316"/>
      <c r="C365" s="316"/>
      <c r="D365" s="269"/>
      <c r="E365" s="143"/>
      <c r="F365" s="143"/>
      <c r="G365" s="143"/>
      <c r="H365" s="143"/>
      <c r="I365" s="143"/>
      <c r="J365" s="316"/>
      <c r="K365" s="158"/>
      <c r="L365" s="159"/>
      <c r="M365" s="226" t="s">
        <v>521</v>
      </c>
      <c r="N365" s="315" t="s">
        <v>684</v>
      </c>
      <c r="O365" s="206" t="s">
        <v>666</v>
      </c>
      <c r="P365" s="206" t="s">
        <v>666</v>
      </c>
      <c r="Q365" s="338"/>
      <c r="R365" s="206" t="s">
        <v>666</v>
      </c>
      <c r="S365" s="338"/>
      <c r="T365" s="206" t="s">
        <v>666</v>
      </c>
      <c r="U365" s="177"/>
      <c r="V365" s="206" t="s">
        <v>666</v>
      </c>
      <c r="W365" s="177"/>
      <c r="X365" s="206" t="s">
        <v>666</v>
      </c>
      <c r="Y365" s="177"/>
      <c r="Z365" s="206" t="s">
        <v>666</v>
      </c>
      <c r="AA365" s="178"/>
      <c r="AB365" s="316"/>
      <c r="AC365" s="155"/>
      <c r="AD365" s="155"/>
      <c r="AE365" s="156"/>
      <c r="AF365" s="157"/>
      <c r="AG365" s="297"/>
    </row>
    <row r="366" spans="1:33" s="72" customFormat="1" ht="66" x14ac:dyDescent="0.3">
      <c r="A366" s="269"/>
      <c r="B366" s="316"/>
      <c r="C366" s="316"/>
      <c r="D366" s="269"/>
      <c r="E366" s="143"/>
      <c r="F366" s="228"/>
      <c r="G366" s="228"/>
      <c r="H366" s="143"/>
      <c r="I366" s="143"/>
      <c r="J366" s="316"/>
      <c r="K366" s="158"/>
      <c r="L366" s="159"/>
      <c r="M366" s="226" t="s">
        <v>522</v>
      </c>
      <c r="N366" s="315" t="s">
        <v>685</v>
      </c>
      <c r="O366" s="206" t="s">
        <v>668</v>
      </c>
      <c r="P366" s="206" t="s">
        <v>668</v>
      </c>
      <c r="Q366" s="338"/>
      <c r="R366" s="206" t="s">
        <v>668</v>
      </c>
      <c r="S366" s="338"/>
      <c r="T366" s="206" t="s">
        <v>668</v>
      </c>
      <c r="U366" s="177"/>
      <c r="V366" s="206" t="s">
        <v>668</v>
      </c>
      <c r="W366" s="177"/>
      <c r="X366" s="206" t="s">
        <v>668</v>
      </c>
      <c r="Y366" s="177"/>
      <c r="Z366" s="206" t="s">
        <v>668</v>
      </c>
      <c r="AA366" s="178"/>
      <c r="AB366" s="316"/>
      <c r="AC366" s="155"/>
      <c r="AD366" s="155"/>
      <c r="AE366" s="156"/>
      <c r="AF366" s="157"/>
      <c r="AG366" s="297"/>
    </row>
    <row r="367" spans="1:33" s="72" customFormat="1" ht="49.5" x14ac:dyDescent="0.3">
      <c r="A367" s="269"/>
      <c r="B367" s="316"/>
      <c r="C367" s="316"/>
      <c r="D367" s="269"/>
      <c r="E367" s="143"/>
      <c r="F367" s="143"/>
      <c r="G367" s="143"/>
      <c r="H367" s="143"/>
      <c r="I367" s="143"/>
      <c r="J367" s="316"/>
      <c r="K367" s="158"/>
      <c r="L367" s="159"/>
      <c r="M367" s="226" t="s">
        <v>523</v>
      </c>
      <c r="N367" s="315" t="s">
        <v>686</v>
      </c>
      <c r="O367" s="316" t="s">
        <v>360</v>
      </c>
      <c r="P367" s="316" t="s">
        <v>360</v>
      </c>
      <c r="Q367" s="338"/>
      <c r="R367" s="316" t="s">
        <v>360</v>
      </c>
      <c r="S367" s="338"/>
      <c r="T367" s="316" t="s">
        <v>360</v>
      </c>
      <c r="U367" s="177"/>
      <c r="V367" s="316" t="s">
        <v>360</v>
      </c>
      <c r="W367" s="177"/>
      <c r="X367" s="316" t="s">
        <v>360</v>
      </c>
      <c r="Y367" s="177"/>
      <c r="Z367" s="316" t="s">
        <v>360</v>
      </c>
      <c r="AA367" s="178"/>
      <c r="AB367" s="316"/>
      <c r="AC367" s="155"/>
      <c r="AD367" s="155"/>
      <c r="AE367" s="156"/>
      <c r="AF367" s="157"/>
      <c r="AG367" s="297"/>
    </row>
    <row r="368" spans="1:33" s="72" customFormat="1" ht="49.5" x14ac:dyDescent="0.3">
      <c r="A368" s="269"/>
      <c r="B368" s="316"/>
      <c r="C368" s="316"/>
      <c r="D368" s="269"/>
      <c r="E368" s="143"/>
      <c r="F368" s="143"/>
      <c r="G368" s="143"/>
      <c r="H368" s="143"/>
      <c r="I368" s="143"/>
      <c r="J368" s="316"/>
      <c r="K368" s="158"/>
      <c r="L368" s="159"/>
      <c r="M368" s="226" t="s">
        <v>524</v>
      </c>
      <c r="N368" s="315" t="s">
        <v>687</v>
      </c>
      <c r="O368" s="196" t="s">
        <v>431</v>
      </c>
      <c r="P368" s="196" t="s">
        <v>431</v>
      </c>
      <c r="Q368" s="338"/>
      <c r="R368" s="196" t="s">
        <v>431</v>
      </c>
      <c r="S368" s="338"/>
      <c r="T368" s="196" t="s">
        <v>431</v>
      </c>
      <c r="U368" s="177"/>
      <c r="V368" s="196" t="s">
        <v>431</v>
      </c>
      <c r="W368" s="177"/>
      <c r="X368" s="196" t="s">
        <v>431</v>
      </c>
      <c r="Y368" s="177"/>
      <c r="Z368" s="196" t="s">
        <v>431</v>
      </c>
      <c r="AA368" s="178"/>
      <c r="AB368" s="316"/>
      <c r="AC368" s="155"/>
      <c r="AD368" s="155"/>
      <c r="AE368" s="156"/>
      <c r="AF368" s="157"/>
      <c r="AG368" s="297"/>
    </row>
    <row r="369" spans="1:33" s="72" customFormat="1" ht="33" x14ac:dyDescent="0.3">
      <c r="A369" s="269"/>
      <c r="B369" s="316"/>
      <c r="C369" s="316"/>
      <c r="D369" s="269"/>
      <c r="E369" s="143"/>
      <c r="F369" s="143"/>
      <c r="G369" s="143"/>
      <c r="H369" s="143"/>
      <c r="I369" s="143"/>
      <c r="J369" s="316"/>
      <c r="K369" s="158"/>
      <c r="L369" s="159"/>
      <c r="M369" s="226" t="s">
        <v>563</v>
      </c>
      <c r="N369" s="315" t="s">
        <v>688</v>
      </c>
      <c r="O369" s="206" t="s">
        <v>675</v>
      </c>
      <c r="P369" s="206" t="s">
        <v>675</v>
      </c>
      <c r="Q369" s="338"/>
      <c r="R369" s="206" t="s">
        <v>675</v>
      </c>
      <c r="S369" s="338"/>
      <c r="T369" s="206" t="s">
        <v>675</v>
      </c>
      <c r="U369" s="177"/>
      <c r="V369" s="206" t="s">
        <v>675</v>
      </c>
      <c r="W369" s="177"/>
      <c r="X369" s="206" t="s">
        <v>675</v>
      </c>
      <c r="Y369" s="177"/>
      <c r="Z369" s="206" t="s">
        <v>675</v>
      </c>
      <c r="AA369" s="178"/>
      <c r="AB369" s="316"/>
      <c r="AC369" s="155"/>
      <c r="AD369" s="155"/>
      <c r="AE369" s="156"/>
      <c r="AF369" s="157"/>
      <c r="AG369" s="297"/>
    </row>
    <row r="370" spans="1:33" s="72" customFormat="1" ht="33" x14ac:dyDescent="0.3">
      <c r="A370" s="269"/>
      <c r="B370" s="316"/>
      <c r="C370" s="316"/>
      <c r="D370" s="269"/>
      <c r="E370" s="143"/>
      <c r="F370" s="143"/>
      <c r="G370" s="143"/>
      <c r="H370" s="143"/>
      <c r="I370" s="143"/>
      <c r="J370" s="316"/>
      <c r="K370" s="137" t="s">
        <v>295</v>
      </c>
      <c r="L370" s="314" t="s">
        <v>291</v>
      </c>
      <c r="M370" s="519" t="s">
        <v>689</v>
      </c>
      <c r="N370" s="520"/>
      <c r="O370" s="137"/>
      <c r="P370" s="137"/>
      <c r="Q370" s="338"/>
      <c r="R370" s="137"/>
      <c r="S370" s="338"/>
      <c r="T370" s="137"/>
      <c r="U370" s="177"/>
      <c r="V370" s="137"/>
      <c r="W370" s="177"/>
      <c r="X370" s="137"/>
      <c r="Y370" s="177"/>
      <c r="Z370" s="137"/>
      <c r="AA370" s="178"/>
      <c r="AB370" s="316"/>
      <c r="AC370" s="155"/>
      <c r="AD370" s="155"/>
      <c r="AE370" s="156"/>
      <c r="AF370" s="157"/>
      <c r="AG370" s="297"/>
    </row>
    <row r="371" spans="1:33" s="72" customFormat="1" ht="33" x14ac:dyDescent="0.3">
      <c r="A371" s="269"/>
      <c r="B371" s="179"/>
      <c r="C371" s="179"/>
      <c r="D371" s="298"/>
      <c r="E371" s="180"/>
      <c r="F371" s="238"/>
      <c r="G371" s="238"/>
      <c r="H371" s="180"/>
      <c r="I371" s="180"/>
      <c r="J371" s="179"/>
      <c r="K371" s="183" t="s">
        <v>297</v>
      </c>
      <c r="L371" s="182" t="s">
        <v>291</v>
      </c>
      <c r="M371" s="198" t="s">
        <v>501</v>
      </c>
      <c r="N371" s="227"/>
      <c r="O371" s="183"/>
      <c r="P371" s="183"/>
      <c r="Q371" s="339"/>
      <c r="R371" s="183"/>
      <c r="S371" s="339"/>
      <c r="T371" s="183"/>
      <c r="U371" s="347"/>
      <c r="V371" s="183"/>
      <c r="W371" s="347"/>
      <c r="X371" s="183"/>
      <c r="Y371" s="347"/>
      <c r="Z371" s="183"/>
      <c r="AA371" s="350"/>
      <c r="AB371" s="179"/>
      <c r="AC371" s="187"/>
      <c r="AD371" s="187"/>
      <c r="AE371" s="188"/>
      <c r="AF371" s="189"/>
      <c r="AG371" s="299"/>
    </row>
    <row r="372" spans="1:33" s="72" customFormat="1" x14ac:dyDescent="0.3">
      <c r="A372" s="269"/>
      <c r="B372" s="316"/>
      <c r="C372" s="316"/>
      <c r="D372" s="269"/>
      <c r="E372" s="143"/>
      <c r="F372" s="228"/>
      <c r="G372" s="228"/>
      <c r="H372" s="143"/>
      <c r="I372" s="143"/>
      <c r="J372" s="316"/>
      <c r="K372" s="158"/>
      <c r="L372" s="159"/>
      <c r="M372" s="159"/>
      <c r="N372" s="315"/>
      <c r="O372" s="316"/>
      <c r="P372" s="316"/>
      <c r="Q372" s="338"/>
      <c r="R372" s="316"/>
      <c r="S372" s="338"/>
      <c r="T372" s="316"/>
      <c r="U372" s="177"/>
      <c r="V372" s="316"/>
      <c r="W372" s="177"/>
      <c r="X372" s="316"/>
      <c r="Y372" s="177"/>
      <c r="Z372" s="316"/>
      <c r="AA372" s="178"/>
      <c r="AB372" s="316"/>
      <c r="AC372" s="155"/>
      <c r="AD372" s="155"/>
      <c r="AE372" s="156"/>
      <c r="AF372" s="157"/>
      <c r="AG372" s="297"/>
    </row>
    <row r="373" spans="1:33" s="72" customFormat="1" ht="33" x14ac:dyDescent="0.3">
      <c r="A373" s="269"/>
      <c r="B373" s="316"/>
      <c r="C373" s="316"/>
      <c r="D373" s="269"/>
      <c r="E373" s="143">
        <v>1</v>
      </c>
      <c r="F373" s="228" t="s">
        <v>131</v>
      </c>
      <c r="G373" s="228" t="s">
        <v>131</v>
      </c>
      <c r="H373" s="143">
        <v>11</v>
      </c>
      <c r="I373" s="136">
        <v>4</v>
      </c>
      <c r="J373" s="316" t="s">
        <v>386</v>
      </c>
      <c r="K373" s="158" t="s">
        <v>290</v>
      </c>
      <c r="L373" s="159" t="s">
        <v>291</v>
      </c>
      <c r="M373" s="514" t="s">
        <v>312</v>
      </c>
      <c r="N373" s="515"/>
      <c r="O373" s="316" t="s">
        <v>301</v>
      </c>
      <c r="P373" s="316" t="s">
        <v>301</v>
      </c>
      <c r="Q373" s="338">
        <v>1151125000</v>
      </c>
      <c r="R373" s="316" t="s">
        <v>301</v>
      </c>
      <c r="S373" s="334">
        <f>Q373+(Q373*5%)-250</f>
        <v>1208681000</v>
      </c>
      <c r="T373" s="316" t="s">
        <v>301</v>
      </c>
      <c r="U373" s="334">
        <f>S373+(S373*10%)-100</f>
        <v>1329549000</v>
      </c>
      <c r="V373" s="316" t="s">
        <v>301</v>
      </c>
      <c r="W373" s="334">
        <f>U373+(U373*10%)-900</f>
        <v>1462503000</v>
      </c>
      <c r="X373" s="316" t="s">
        <v>301</v>
      </c>
      <c r="Y373" s="334">
        <f>W373+(W373*10%)-300</f>
        <v>1608753000</v>
      </c>
      <c r="Z373" s="316" t="s">
        <v>301</v>
      </c>
      <c r="AA373" s="178">
        <f>Y373+W373+U373+S373+Q373</f>
        <v>6760611000</v>
      </c>
      <c r="AB373" s="316" t="s">
        <v>66</v>
      </c>
      <c r="AC373" s="155"/>
      <c r="AD373" s="155"/>
      <c r="AE373" s="156"/>
      <c r="AF373" s="157"/>
      <c r="AG373" s="316" t="s">
        <v>66</v>
      </c>
    </row>
    <row r="374" spans="1:33" s="72" customFormat="1" ht="99" x14ac:dyDescent="0.3">
      <c r="A374" s="269"/>
      <c r="B374" s="316"/>
      <c r="C374" s="316"/>
      <c r="D374" s="269"/>
      <c r="E374" s="143"/>
      <c r="F374" s="143"/>
      <c r="G374" s="143"/>
      <c r="H374" s="143"/>
      <c r="I374" s="143"/>
      <c r="J374" s="316"/>
      <c r="K374" s="158" t="s">
        <v>293</v>
      </c>
      <c r="L374" s="159" t="s">
        <v>291</v>
      </c>
      <c r="M374" s="160" t="s">
        <v>299</v>
      </c>
      <c r="N374" s="315" t="s">
        <v>690</v>
      </c>
      <c r="O374" s="316" t="s">
        <v>691</v>
      </c>
      <c r="P374" s="316" t="s">
        <v>691</v>
      </c>
      <c r="Q374" s="338"/>
      <c r="R374" s="316" t="s">
        <v>691</v>
      </c>
      <c r="S374" s="338"/>
      <c r="T374" s="316" t="s">
        <v>691</v>
      </c>
      <c r="U374" s="177"/>
      <c r="V374" s="316" t="s">
        <v>691</v>
      </c>
      <c r="W374" s="177"/>
      <c r="X374" s="316" t="s">
        <v>691</v>
      </c>
      <c r="Y374" s="177"/>
      <c r="Z374" s="316" t="s">
        <v>691</v>
      </c>
      <c r="AA374" s="178"/>
      <c r="AB374" s="316"/>
      <c r="AC374" s="155"/>
      <c r="AD374" s="155"/>
      <c r="AE374" s="156"/>
      <c r="AF374" s="157"/>
      <c r="AG374" s="297"/>
    </row>
    <row r="375" spans="1:33" s="72" customFormat="1" ht="49.5" x14ac:dyDescent="0.3">
      <c r="A375" s="269"/>
      <c r="B375" s="316"/>
      <c r="C375" s="316"/>
      <c r="D375" s="269"/>
      <c r="E375" s="143"/>
      <c r="F375" s="228"/>
      <c r="G375" s="228"/>
      <c r="H375" s="143"/>
      <c r="I375" s="143"/>
      <c r="J375" s="316"/>
      <c r="K375" s="158"/>
      <c r="L375" s="159"/>
      <c r="M375" s="160" t="s">
        <v>303</v>
      </c>
      <c r="N375" s="205" t="s">
        <v>692</v>
      </c>
      <c r="O375" s="206" t="s">
        <v>693</v>
      </c>
      <c r="P375" s="206" t="s">
        <v>693</v>
      </c>
      <c r="Q375" s="338"/>
      <c r="R375" s="206" t="s">
        <v>693</v>
      </c>
      <c r="S375" s="338"/>
      <c r="T375" s="206" t="s">
        <v>693</v>
      </c>
      <c r="U375" s="177"/>
      <c r="V375" s="206" t="s">
        <v>693</v>
      </c>
      <c r="W375" s="177"/>
      <c r="X375" s="206" t="s">
        <v>693</v>
      </c>
      <c r="Y375" s="177"/>
      <c r="Z375" s="206" t="s">
        <v>693</v>
      </c>
      <c r="AA375" s="178"/>
      <c r="AB375" s="316"/>
      <c r="AC375" s="155"/>
      <c r="AD375" s="155"/>
      <c r="AE375" s="156"/>
      <c r="AF375" s="157"/>
      <c r="AG375" s="297"/>
    </row>
    <row r="376" spans="1:33" s="72" customFormat="1" ht="49.5" x14ac:dyDescent="0.3">
      <c r="A376" s="269"/>
      <c r="B376" s="316"/>
      <c r="C376" s="316"/>
      <c r="D376" s="269"/>
      <c r="E376" s="143"/>
      <c r="F376" s="143"/>
      <c r="G376" s="143"/>
      <c r="H376" s="143"/>
      <c r="I376" s="143"/>
      <c r="J376" s="316"/>
      <c r="K376" s="158"/>
      <c r="L376" s="159"/>
      <c r="M376" s="160" t="s">
        <v>318</v>
      </c>
      <c r="N376" s="225" t="s">
        <v>694</v>
      </c>
      <c r="O376" s="206" t="s">
        <v>695</v>
      </c>
      <c r="P376" s="206" t="s">
        <v>695</v>
      </c>
      <c r="Q376" s="338"/>
      <c r="R376" s="206" t="s">
        <v>695</v>
      </c>
      <c r="S376" s="338"/>
      <c r="T376" s="206" t="s">
        <v>695</v>
      </c>
      <c r="U376" s="177"/>
      <c r="V376" s="206" t="s">
        <v>695</v>
      </c>
      <c r="W376" s="177"/>
      <c r="X376" s="206" t="s">
        <v>695</v>
      </c>
      <c r="Y376" s="177"/>
      <c r="Z376" s="206" t="s">
        <v>695</v>
      </c>
      <c r="AA376" s="178"/>
      <c r="AB376" s="316"/>
      <c r="AC376" s="155"/>
      <c r="AD376" s="155"/>
      <c r="AE376" s="156"/>
      <c r="AF376" s="157"/>
      <c r="AG376" s="297"/>
    </row>
    <row r="377" spans="1:33" s="72" customFormat="1" ht="99" x14ac:dyDescent="0.3">
      <c r="A377" s="269"/>
      <c r="B377" s="316"/>
      <c r="C377" s="316"/>
      <c r="D377" s="269"/>
      <c r="E377" s="143"/>
      <c r="F377" s="143"/>
      <c r="G377" s="143"/>
      <c r="H377" s="143"/>
      <c r="I377" s="143"/>
      <c r="J377" s="316"/>
      <c r="K377" s="158"/>
      <c r="L377" s="159"/>
      <c r="M377" s="160" t="s">
        <v>331</v>
      </c>
      <c r="N377" s="225" t="s">
        <v>696</v>
      </c>
      <c r="O377" s="206" t="s">
        <v>697</v>
      </c>
      <c r="P377" s="206" t="s">
        <v>697</v>
      </c>
      <c r="Q377" s="338"/>
      <c r="R377" s="206" t="s">
        <v>697</v>
      </c>
      <c r="S377" s="338"/>
      <c r="T377" s="206" t="s">
        <v>697</v>
      </c>
      <c r="U377" s="177"/>
      <c r="V377" s="206" t="s">
        <v>697</v>
      </c>
      <c r="W377" s="177"/>
      <c r="X377" s="206" t="s">
        <v>697</v>
      </c>
      <c r="Y377" s="177"/>
      <c r="Z377" s="206" t="s">
        <v>697</v>
      </c>
      <c r="AA377" s="178"/>
      <c r="AB377" s="316"/>
      <c r="AC377" s="155"/>
      <c r="AD377" s="155"/>
      <c r="AE377" s="156"/>
      <c r="AF377" s="157"/>
      <c r="AG377" s="297"/>
    </row>
    <row r="378" spans="1:33" s="72" customFormat="1" ht="49.5" x14ac:dyDescent="0.3">
      <c r="A378" s="269"/>
      <c r="B378" s="316"/>
      <c r="C378" s="314"/>
      <c r="D378" s="297"/>
      <c r="E378" s="143"/>
      <c r="F378" s="143"/>
      <c r="G378" s="143"/>
      <c r="H378" s="143"/>
      <c r="I378" s="143"/>
      <c r="J378" s="316"/>
      <c r="K378" s="158"/>
      <c r="L378" s="159"/>
      <c r="M378" s="160" t="s">
        <v>353</v>
      </c>
      <c r="N378" s="225" t="s">
        <v>698</v>
      </c>
      <c r="O378" s="206" t="s">
        <v>699</v>
      </c>
      <c r="P378" s="206" t="s">
        <v>699</v>
      </c>
      <c r="Q378" s="338"/>
      <c r="R378" s="206" t="s">
        <v>699</v>
      </c>
      <c r="S378" s="338"/>
      <c r="T378" s="206" t="s">
        <v>699</v>
      </c>
      <c r="U378" s="177"/>
      <c r="V378" s="206" t="s">
        <v>699</v>
      </c>
      <c r="W378" s="177"/>
      <c r="X378" s="206" t="s">
        <v>699</v>
      </c>
      <c r="Y378" s="177"/>
      <c r="Z378" s="206" t="s">
        <v>699</v>
      </c>
      <c r="AA378" s="178"/>
      <c r="AB378" s="316"/>
      <c r="AC378" s="155"/>
      <c r="AD378" s="155"/>
      <c r="AE378" s="156"/>
      <c r="AF378" s="157"/>
      <c r="AG378" s="297"/>
    </row>
    <row r="379" spans="1:33" s="72" customFormat="1" ht="115.5" x14ac:dyDescent="0.3">
      <c r="A379" s="269"/>
      <c r="B379" s="316"/>
      <c r="C379" s="314"/>
      <c r="D379" s="297"/>
      <c r="E379" s="143"/>
      <c r="F379" s="143"/>
      <c r="G379" s="143"/>
      <c r="H379" s="143"/>
      <c r="I379" s="143"/>
      <c r="J379" s="316"/>
      <c r="K379" s="158"/>
      <c r="L379" s="159"/>
      <c r="M379" s="160" t="s">
        <v>352</v>
      </c>
      <c r="N379" s="205" t="s">
        <v>700</v>
      </c>
      <c r="O379" s="206" t="s">
        <v>701</v>
      </c>
      <c r="P379" s="206" t="s">
        <v>701</v>
      </c>
      <c r="Q379" s="338"/>
      <c r="R379" s="206" t="s">
        <v>701</v>
      </c>
      <c r="S379" s="338"/>
      <c r="T379" s="206" t="s">
        <v>701</v>
      </c>
      <c r="U379" s="177"/>
      <c r="V379" s="206" t="s">
        <v>701</v>
      </c>
      <c r="W379" s="177"/>
      <c r="X379" s="206" t="s">
        <v>701</v>
      </c>
      <c r="Y379" s="177"/>
      <c r="Z379" s="206" t="s">
        <v>701</v>
      </c>
      <c r="AA379" s="178"/>
      <c r="AB379" s="316"/>
      <c r="AC379" s="155"/>
      <c r="AD379" s="155"/>
      <c r="AE379" s="156"/>
      <c r="AF379" s="157"/>
      <c r="AG379" s="297"/>
    </row>
    <row r="380" spans="1:33" s="72" customFormat="1" ht="66" x14ac:dyDescent="0.3">
      <c r="A380" s="269"/>
      <c r="B380" s="316"/>
      <c r="C380" s="316"/>
      <c r="D380" s="269"/>
      <c r="E380" s="143"/>
      <c r="F380" s="143"/>
      <c r="G380" s="143"/>
      <c r="H380" s="143"/>
      <c r="I380" s="143"/>
      <c r="J380" s="316"/>
      <c r="K380" s="137"/>
      <c r="L380" s="314"/>
      <c r="M380" s="226" t="s">
        <v>402</v>
      </c>
      <c r="N380" s="205" t="s">
        <v>702</v>
      </c>
      <c r="O380" s="316" t="s">
        <v>703</v>
      </c>
      <c r="P380" s="316" t="s">
        <v>703</v>
      </c>
      <c r="Q380" s="338"/>
      <c r="R380" s="316" t="s">
        <v>703</v>
      </c>
      <c r="S380" s="338"/>
      <c r="T380" s="316" t="s">
        <v>703</v>
      </c>
      <c r="U380" s="177"/>
      <c r="V380" s="316" t="s">
        <v>703</v>
      </c>
      <c r="W380" s="177"/>
      <c r="X380" s="316" t="s">
        <v>703</v>
      </c>
      <c r="Y380" s="177"/>
      <c r="Z380" s="316" t="s">
        <v>703</v>
      </c>
      <c r="AA380" s="178"/>
      <c r="AB380" s="316"/>
      <c r="AC380" s="155"/>
      <c r="AD380" s="155"/>
      <c r="AE380" s="156"/>
      <c r="AF380" s="157"/>
      <c r="AG380" s="297"/>
    </row>
    <row r="381" spans="1:33" s="72" customFormat="1" ht="99" x14ac:dyDescent="0.3">
      <c r="A381" s="269"/>
      <c r="B381" s="316"/>
      <c r="C381" s="316"/>
      <c r="D381" s="269"/>
      <c r="E381" s="143"/>
      <c r="F381" s="143"/>
      <c r="G381" s="143"/>
      <c r="H381" s="143"/>
      <c r="I381" s="143"/>
      <c r="J381" s="316"/>
      <c r="K381" s="137"/>
      <c r="L381" s="314"/>
      <c r="M381" s="226" t="s">
        <v>453</v>
      </c>
      <c r="N381" s="205" t="s">
        <v>704</v>
      </c>
      <c r="O381" s="206" t="s">
        <v>705</v>
      </c>
      <c r="P381" s="206" t="s">
        <v>705</v>
      </c>
      <c r="Q381" s="338"/>
      <c r="R381" s="206" t="s">
        <v>705</v>
      </c>
      <c r="S381" s="338"/>
      <c r="T381" s="206" t="s">
        <v>705</v>
      </c>
      <c r="U381" s="177"/>
      <c r="V381" s="206" t="s">
        <v>705</v>
      </c>
      <c r="W381" s="177"/>
      <c r="X381" s="206" t="s">
        <v>705</v>
      </c>
      <c r="Y381" s="177"/>
      <c r="Z381" s="206" t="s">
        <v>705</v>
      </c>
      <c r="AA381" s="178"/>
      <c r="AB381" s="316"/>
      <c r="AC381" s="155"/>
      <c r="AD381" s="155"/>
      <c r="AE381" s="156"/>
      <c r="AF381" s="157"/>
      <c r="AG381" s="297"/>
    </row>
    <row r="382" spans="1:33" s="72" customFormat="1" ht="66" x14ac:dyDescent="0.3">
      <c r="A382" s="269"/>
      <c r="B382" s="316"/>
      <c r="C382" s="316"/>
      <c r="D382" s="269"/>
      <c r="E382" s="143"/>
      <c r="F382" s="228"/>
      <c r="G382" s="228"/>
      <c r="H382" s="143"/>
      <c r="I382" s="136"/>
      <c r="J382" s="316"/>
      <c r="K382" s="137"/>
      <c r="L382" s="314"/>
      <c r="M382" s="226" t="s">
        <v>454</v>
      </c>
      <c r="N382" s="205" t="s">
        <v>706</v>
      </c>
      <c r="O382" s="206" t="s">
        <v>707</v>
      </c>
      <c r="P382" s="206" t="s">
        <v>707</v>
      </c>
      <c r="Q382" s="338"/>
      <c r="R382" s="206" t="s">
        <v>707</v>
      </c>
      <c r="S382" s="338"/>
      <c r="T382" s="206" t="s">
        <v>707</v>
      </c>
      <c r="U382" s="177"/>
      <c r="V382" s="206" t="s">
        <v>707</v>
      </c>
      <c r="W382" s="177"/>
      <c r="X382" s="206" t="s">
        <v>707</v>
      </c>
      <c r="Y382" s="177"/>
      <c r="Z382" s="206" t="s">
        <v>707</v>
      </c>
      <c r="AA382" s="178"/>
      <c r="AB382" s="316"/>
      <c r="AC382" s="155"/>
      <c r="AD382" s="155"/>
      <c r="AE382" s="156"/>
      <c r="AF382" s="157"/>
      <c r="AG382" s="297"/>
    </row>
    <row r="383" spans="1:33" s="72" customFormat="1" ht="49.5" x14ac:dyDescent="0.3">
      <c r="A383" s="269"/>
      <c r="B383" s="316"/>
      <c r="C383" s="316"/>
      <c r="D383" s="269"/>
      <c r="E383" s="143"/>
      <c r="F383" s="143"/>
      <c r="G383" s="143"/>
      <c r="H383" s="143"/>
      <c r="I383" s="143"/>
      <c r="J383" s="316"/>
      <c r="K383" s="137"/>
      <c r="L383" s="314"/>
      <c r="M383" s="226" t="s">
        <v>521</v>
      </c>
      <c r="N383" s="205" t="s">
        <v>708</v>
      </c>
      <c r="O383" s="206" t="s">
        <v>709</v>
      </c>
      <c r="P383" s="206" t="s">
        <v>709</v>
      </c>
      <c r="Q383" s="338"/>
      <c r="R383" s="206" t="s">
        <v>709</v>
      </c>
      <c r="S383" s="338"/>
      <c r="T383" s="206" t="s">
        <v>709</v>
      </c>
      <c r="U383" s="177"/>
      <c r="V383" s="206" t="s">
        <v>709</v>
      </c>
      <c r="W383" s="177"/>
      <c r="X383" s="206" t="s">
        <v>709</v>
      </c>
      <c r="Y383" s="177"/>
      <c r="Z383" s="206" t="s">
        <v>709</v>
      </c>
      <c r="AA383" s="178"/>
      <c r="AB383" s="316"/>
      <c r="AC383" s="155"/>
      <c r="AD383" s="155"/>
      <c r="AE383" s="156"/>
      <c r="AF383" s="157"/>
      <c r="AG383" s="297"/>
    </row>
    <row r="384" spans="1:33" s="72" customFormat="1" ht="82.5" x14ac:dyDescent="0.3">
      <c r="A384" s="269"/>
      <c r="B384" s="316"/>
      <c r="C384" s="316"/>
      <c r="D384" s="269"/>
      <c r="E384" s="143"/>
      <c r="F384" s="143"/>
      <c r="G384" s="143"/>
      <c r="H384" s="143"/>
      <c r="I384" s="143"/>
      <c r="J384" s="316"/>
      <c r="K384" s="137"/>
      <c r="L384" s="314"/>
      <c r="M384" s="226" t="s">
        <v>522</v>
      </c>
      <c r="N384" s="315" t="s">
        <v>710</v>
      </c>
      <c r="O384" s="316" t="s">
        <v>711</v>
      </c>
      <c r="P384" s="316" t="s">
        <v>711</v>
      </c>
      <c r="Q384" s="338"/>
      <c r="R384" s="316" t="s">
        <v>711</v>
      </c>
      <c r="S384" s="338"/>
      <c r="T384" s="316" t="s">
        <v>711</v>
      </c>
      <c r="U384" s="177"/>
      <c r="V384" s="316" t="s">
        <v>711</v>
      </c>
      <c r="W384" s="177"/>
      <c r="X384" s="316" t="s">
        <v>711</v>
      </c>
      <c r="Y384" s="177"/>
      <c r="Z384" s="316" t="s">
        <v>711</v>
      </c>
      <c r="AA384" s="178"/>
      <c r="AB384" s="316"/>
      <c r="AC384" s="155"/>
      <c r="AD384" s="155"/>
      <c r="AE384" s="156"/>
      <c r="AF384" s="157"/>
      <c r="AG384" s="297"/>
    </row>
    <row r="385" spans="1:33" s="72" customFormat="1" ht="82.5" x14ac:dyDescent="0.3">
      <c r="A385" s="269"/>
      <c r="B385" s="316"/>
      <c r="C385" s="316"/>
      <c r="D385" s="269"/>
      <c r="E385" s="143"/>
      <c r="F385" s="228"/>
      <c r="G385" s="228"/>
      <c r="H385" s="143"/>
      <c r="I385" s="143"/>
      <c r="J385" s="316"/>
      <c r="K385" s="137"/>
      <c r="L385" s="314"/>
      <c r="M385" s="226" t="s">
        <v>523</v>
      </c>
      <c r="N385" s="315" t="s">
        <v>712</v>
      </c>
      <c r="O385" s="316" t="s">
        <v>713</v>
      </c>
      <c r="P385" s="316" t="s">
        <v>713</v>
      </c>
      <c r="Q385" s="338"/>
      <c r="R385" s="316" t="s">
        <v>713</v>
      </c>
      <c r="S385" s="338"/>
      <c r="T385" s="316" t="s">
        <v>713</v>
      </c>
      <c r="U385" s="177"/>
      <c r="V385" s="316" t="s">
        <v>713</v>
      </c>
      <c r="W385" s="177"/>
      <c r="X385" s="316" t="s">
        <v>713</v>
      </c>
      <c r="Y385" s="177"/>
      <c r="Z385" s="316" t="s">
        <v>713</v>
      </c>
      <c r="AA385" s="178"/>
      <c r="AB385" s="316"/>
      <c r="AC385" s="155"/>
      <c r="AD385" s="155"/>
      <c r="AE385" s="156"/>
      <c r="AF385" s="157"/>
      <c r="AG385" s="297"/>
    </row>
    <row r="386" spans="1:33" s="72" customFormat="1" ht="99" x14ac:dyDescent="0.3">
      <c r="A386" s="269"/>
      <c r="B386" s="316"/>
      <c r="C386" s="316"/>
      <c r="D386" s="269"/>
      <c r="E386" s="143"/>
      <c r="F386" s="228"/>
      <c r="G386" s="228"/>
      <c r="H386" s="143"/>
      <c r="I386" s="136"/>
      <c r="J386" s="316"/>
      <c r="K386" s="137"/>
      <c r="L386" s="314"/>
      <c r="M386" s="226" t="s">
        <v>524</v>
      </c>
      <c r="N386" s="315" t="s">
        <v>714</v>
      </c>
      <c r="O386" s="316" t="s">
        <v>691</v>
      </c>
      <c r="P386" s="316" t="s">
        <v>691</v>
      </c>
      <c r="Q386" s="338"/>
      <c r="R386" s="316" t="s">
        <v>691</v>
      </c>
      <c r="S386" s="338"/>
      <c r="T386" s="316" t="s">
        <v>691</v>
      </c>
      <c r="U386" s="177"/>
      <c r="V386" s="316" t="s">
        <v>691</v>
      </c>
      <c r="W386" s="177"/>
      <c r="X386" s="316" t="s">
        <v>691</v>
      </c>
      <c r="Y386" s="177"/>
      <c r="Z386" s="316" t="s">
        <v>691</v>
      </c>
      <c r="AA386" s="178"/>
      <c r="AB386" s="316"/>
      <c r="AC386" s="155"/>
      <c r="AD386" s="155"/>
      <c r="AE386" s="156"/>
      <c r="AF386" s="157"/>
      <c r="AG386" s="297"/>
    </row>
    <row r="387" spans="1:33" s="72" customFormat="1" ht="66" x14ac:dyDescent="0.3">
      <c r="A387" s="269"/>
      <c r="B387" s="316"/>
      <c r="C387" s="316"/>
      <c r="D387" s="269"/>
      <c r="E387" s="143"/>
      <c r="F387" s="228"/>
      <c r="G387" s="228"/>
      <c r="H387" s="143"/>
      <c r="I387" s="136"/>
      <c r="J387" s="316"/>
      <c r="K387" s="158" t="s">
        <v>294</v>
      </c>
      <c r="L387" s="159" t="s">
        <v>291</v>
      </c>
      <c r="M387" s="226" t="s">
        <v>299</v>
      </c>
      <c r="N387" s="315" t="s">
        <v>715</v>
      </c>
      <c r="O387" s="316" t="s">
        <v>432</v>
      </c>
      <c r="P387" s="316" t="s">
        <v>432</v>
      </c>
      <c r="Q387" s="338"/>
      <c r="R387" s="316" t="s">
        <v>432</v>
      </c>
      <c r="S387" s="338"/>
      <c r="T387" s="316" t="s">
        <v>432</v>
      </c>
      <c r="U387" s="177"/>
      <c r="V387" s="316" t="s">
        <v>432</v>
      </c>
      <c r="W387" s="177"/>
      <c r="X387" s="316" t="s">
        <v>432</v>
      </c>
      <c r="Y387" s="177"/>
      <c r="Z387" s="316" t="s">
        <v>432</v>
      </c>
      <c r="AA387" s="178"/>
      <c r="AB387" s="316"/>
      <c r="AC387" s="155"/>
      <c r="AD387" s="155"/>
      <c r="AE387" s="156"/>
      <c r="AF387" s="157"/>
      <c r="AG387" s="297"/>
    </row>
    <row r="388" spans="1:33" s="72" customFormat="1" ht="49.5" x14ac:dyDescent="0.3">
      <c r="A388" s="269"/>
      <c r="B388" s="316"/>
      <c r="C388" s="316"/>
      <c r="D388" s="269"/>
      <c r="E388" s="143"/>
      <c r="F388" s="228"/>
      <c r="G388" s="228"/>
      <c r="H388" s="143"/>
      <c r="I388" s="143"/>
      <c r="J388" s="316"/>
      <c r="K388" s="158"/>
      <c r="L388" s="159"/>
      <c r="M388" s="226" t="s">
        <v>303</v>
      </c>
      <c r="N388" s="315" t="s">
        <v>716</v>
      </c>
      <c r="O388" s="206" t="s">
        <v>693</v>
      </c>
      <c r="P388" s="206" t="s">
        <v>693</v>
      </c>
      <c r="Q388" s="338"/>
      <c r="R388" s="206" t="s">
        <v>693</v>
      </c>
      <c r="S388" s="338"/>
      <c r="T388" s="206" t="s">
        <v>693</v>
      </c>
      <c r="U388" s="177"/>
      <c r="V388" s="206" t="s">
        <v>693</v>
      </c>
      <c r="W388" s="177"/>
      <c r="X388" s="206" t="s">
        <v>693</v>
      </c>
      <c r="Y388" s="177"/>
      <c r="Z388" s="206" t="s">
        <v>693</v>
      </c>
      <c r="AA388" s="178"/>
      <c r="AB388" s="316"/>
      <c r="AC388" s="155"/>
      <c r="AD388" s="155"/>
      <c r="AE388" s="156"/>
      <c r="AF388" s="157"/>
      <c r="AG388" s="297"/>
    </row>
    <row r="389" spans="1:33" s="72" customFormat="1" ht="49.5" x14ac:dyDescent="0.3">
      <c r="A389" s="269"/>
      <c r="B389" s="316"/>
      <c r="C389" s="316"/>
      <c r="D389" s="269"/>
      <c r="E389" s="143"/>
      <c r="F389" s="228"/>
      <c r="G389" s="228"/>
      <c r="H389" s="143"/>
      <c r="I389" s="136"/>
      <c r="J389" s="316"/>
      <c r="K389" s="158"/>
      <c r="L389" s="159"/>
      <c r="M389" s="226" t="s">
        <v>318</v>
      </c>
      <c r="N389" s="315" t="s">
        <v>717</v>
      </c>
      <c r="O389" s="206" t="s">
        <v>695</v>
      </c>
      <c r="P389" s="206" t="s">
        <v>695</v>
      </c>
      <c r="Q389" s="338"/>
      <c r="R389" s="206" t="s">
        <v>695</v>
      </c>
      <c r="S389" s="338"/>
      <c r="T389" s="206" t="s">
        <v>695</v>
      </c>
      <c r="U389" s="177"/>
      <c r="V389" s="206" t="s">
        <v>695</v>
      </c>
      <c r="W389" s="177"/>
      <c r="X389" s="206" t="s">
        <v>695</v>
      </c>
      <c r="Y389" s="177"/>
      <c r="Z389" s="206" t="s">
        <v>695</v>
      </c>
      <c r="AA389" s="178"/>
      <c r="AB389" s="316"/>
      <c r="AC389" s="155"/>
      <c r="AD389" s="155"/>
      <c r="AE389" s="156"/>
      <c r="AF389" s="157"/>
      <c r="AG389" s="297"/>
    </row>
    <row r="390" spans="1:33" s="72" customFormat="1" ht="49.5" x14ac:dyDescent="0.3">
      <c r="A390" s="269"/>
      <c r="B390" s="316"/>
      <c r="C390" s="316"/>
      <c r="D390" s="269"/>
      <c r="E390" s="143"/>
      <c r="F390" s="228"/>
      <c r="G390" s="228"/>
      <c r="H390" s="143"/>
      <c r="I390" s="136"/>
      <c r="J390" s="316"/>
      <c r="K390" s="158"/>
      <c r="L390" s="159"/>
      <c r="M390" s="226" t="s">
        <v>331</v>
      </c>
      <c r="N390" s="315" t="s">
        <v>718</v>
      </c>
      <c r="O390" s="206" t="s">
        <v>697</v>
      </c>
      <c r="P390" s="206" t="s">
        <v>697</v>
      </c>
      <c r="Q390" s="338"/>
      <c r="R390" s="206" t="s">
        <v>697</v>
      </c>
      <c r="S390" s="338"/>
      <c r="T390" s="206" t="s">
        <v>697</v>
      </c>
      <c r="U390" s="177"/>
      <c r="V390" s="206" t="s">
        <v>697</v>
      </c>
      <c r="W390" s="177"/>
      <c r="X390" s="206" t="s">
        <v>697</v>
      </c>
      <c r="Y390" s="177"/>
      <c r="Z390" s="206" t="s">
        <v>697</v>
      </c>
      <c r="AA390" s="178"/>
      <c r="AB390" s="316"/>
      <c r="AC390" s="155"/>
      <c r="AD390" s="155"/>
      <c r="AE390" s="156"/>
      <c r="AF390" s="157"/>
      <c r="AG390" s="297"/>
    </row>
    <row r="391" spans="1:33" s="72" customFormat="1" ht="66" x14ac:dyDescent="0.3">
      <c r="A391" s="269"/>
      <c r="B391" s="316"/>
      <c r="C391" s="316"/>
      <c r="D391" s="269"/>
      <c r="E391" s="143"/>
      <c r="F391" s="228"/>
      <c r="G391" s="228"/>
      <c r="H391" s="143"/>
      <c r="I391" s="136"/>
      <c r="J391" s="316"/>
      <c r="K391" s="158"/>
      <c r="L391" s="159"/>
      <c r="M391" s="226" t="s">
        <v>353</v>
      </c>
      <c r="N391" s="315" t="s">
        <v>719</v>
      </c>
      <c r="O391" s="316" t="s">
        <v>703</v>
      </c>
      <c r="P391" s="316" t="s">
        <v>703</v>
      </c>
      <c r="Q391" s="338"/>
      <c r="R391" s="316" t="s">
        <v>703</v>
      </c>
      <c r="S391" s="338"/>
      <c r="T391" s="316" t="s">
        <v>703</v>
      </c>
      <c r="U391" s="177"/>
      <c r="V391" s="316" t="s">
        <v>703</v>
      </c>
      <c r="W391" s="177"/>
      <c r="X391" s="316" t="s">
        <v>703</v>
      </c>
      <c r="Y391" s="177"/>
      <c r="Z391" s="316" t="s">
        <v>703</v>
      </c>
      <c r="AA391" s="178"/>
      <c r="AB391" s="316"/>
      <c r="AC391" s="155"/>
      <c r="AD391" s="155"/>
      <c r="AE391" s="156"/>
      <c r="AF391" s="157"/>
      <c r="AG391" s="297"/>
    </row>
    <row r="392" spans="1:33" s="72" customFormat="1" ht="82.5" x14ac:dyDescent="0.3">
      <c r="A392" s="269"/>
      <c r="B392" s="316"/>
      <c r="C392" s="316"/>
      <c r="D392" s="269"/>
      <c r="E392" s="143"/>
      <c r="F392" s="228"/>
      <c r="G392" s="228"/>
      <c r="H392" s="143"/>
      <c r="I392" s="136"/>
      <c r="J392" s="316"/>
      <c r="K392" s="158"/>
      <c r="L392" s="159"/>
      <c r="M392" s="226" t="s">
        <v>352</v>
      </c>
      <c r="N392" s="315" t="s">
        <v>720</v>
      </c>
      <c r="O392" s="316" t="s">
        <v>721</v>
      </c>
      <c r="P392" s="316" t="s">
        <v>721</v>
      </c>
      <c r="Q392" s="338"/>
      <c r="R392" s="316" t="s">
        <v>721</v>
      </c>
      <c r="S392" s="338"/>
      <c r="T392" s="316" t="s">
        <v>721</v>
      </c>
      <c r="U392" s="177"/>
      <c r="V392" s="316" t="s">
        <v>721</v>
      </c>
      <c r="W392" s="177"/>
      <c r="X392" s="316" t="s">
        <v>721</v>
      </c>
      <c r="Y392" s="177"/>
      <c r="Z392" s="316" t="s">
        <v>721</v>
      </c>
      <c r="AA392" s="178"/>
      <c r="AB392" s="316"/>
      <c r="AC392" s="155"/>
      <c r="AD392" s="155"/>
      <c r="AE392" s="156"/>
      <c r="AF392" s="157"/>
      <c r="AG392" s="297"/>
    </row>
    <row r="393" spans="1:33" s="72" customFormat="1" ht="82.5" x14ac:dyDescent="0.3">
      <c r="A393" s="269"/>
      <c r="B393" s="316"/>
      <c r="C393" s="316"/>
      <c r="D393" s="269"/>
      <c r="E393" s="143"/>
      <c r="F393" s="228"/>
      <c r="G393" s="228"/>
      <c r="H393" s="143"/>
      <c r="I393" s="136"/>
      <c r="J393" s="316"/>
      <c r="K393" s="158"/>
      <c r="L393" s="159"/>
      <c r="M393" s="226" t="s">
        <v>402</v>
      </c>
      <c r="N393" s="315" t="s">
        <v>722</v>
      </c>
      <c r="O393" s="316" t="s">
        <v>347</v>
      </c>
      <c r="P393" s="316" t="s">
        <v>347</v>
      </c>
      <c r="Q393" s="338"/>
      <c r="R393" s="316" t="s">
        <v>347</v>
      </c>
      <c r="S393" s="338"/>
      <c r="T393" s="316" t="s">
        <v>347</v>
      </c>
      <c r="U393" s="177"/>
      <c r="V393" s="316" t="s">
        <v>347</v>
      </c>
      <c r="W393" s="177"/>
      <c r="X393" s="316" t="s">
        <v>347</v>
      </c>
      <c r="Y393" s="177"/>
      <c r="Z393" s="316" t="s">
        <v>347</v>
      </c>
      <c r="AA393" s="178"/>
      <c r="AB393" s="316"/>
      <c r="AC393" s="155"/>
      <c r="AD393" s="155"/>
      <c r="AE393" s="156"/>
      <c r="AF393" s="157"/>
      <c r="AG393" s="297"/>
    </row>
    <row r="394" spans="1:33" s="72" customFormat="1" ht="82.5" x14ac:dyDescent="0.3">
      <c r="A394" s="269"/>
      <c r="B394" s="316"/>
      <c r="C394" s="316"/>
      <c r="D394" s="269"/>
      <c r="E394" s="143"/>
      <c r="F394" s="228"/>
      <c r="G394" s="228"/>
      <c r="H394" s="143"/>
      <c r="I394" s="136"/>
      <c r="J394" s="316"/>
      <c r="K394" s="158"/>
      <c r="L394" s="159"/>
      <c r="M394" s="226" t="s">
        <v>453</v>
      </c>
      <c r="N394" s="315" t="s">
        <v>723</v>
      </c>
      <c r="O394" s="206" t="s">
        <v>709</v>
      </c>
      <c r="P394" s="206" t="s">
        <v>709</v>
      </c>
      <c r="Q394" s="338"/>
      <c r="R394" s="206" t="s">
        <v>709</v>
      </c>
      <c r="S394" s="338"/>
      <c r="T394" s="206" t="s">
        <v>709</v>
      </c>
      <c r="U394" s="177"/>
      <c r="V394" s="206" t="s">
        <v>709</v>
      </c>
      <c r="W394" s="177"/>
      <c r="X394" s="206" t="s">
        <v>709</v>
      </c>
      <c r="Y394" s="177"/>
      <c r="Z394" s="206" t="s">
        <v>709</v>
      </c>
      <c r="AA394" s="178"/>
      <c r="AB394" s="316"/>
      <c r="AC394" s="155"/>
      <c r="AD394" s="155"/>
      <c r="AE394" s="156"/>
      <c r="AF394" s="157"/>
      <c r="AG394" s="297"/>
    </row>
    <row r="395" spans="1:33" s="72" customFormat="1" ht="66" x14ac:dyDescent="0.3">
      <c r="A395" s="269"/>
      <c r="B395" s="316"/>
      <c r="C395" s="316"/>
      <c r="D395" s="269"/>
      <c r="E395" s="143"/>
      <c r="F395" s="228"/>
      <c r="G395" s="228"/>
      <c r="H395" s="143"/>
      <c r="I395" s="136"/>
      <c r="J395" s="316"/>
      <c r="K395" s="158"/>
      <c r="L395" s="159"/>
      <c r="M395" s="226" t="s">
        <v>454</v>
      </c>
      <c r="N395" s="315" t="s">
        <v>724</v>
      </c>
      <c r="O395" s="316" t="s">
        <v>711</v>
      </c>
      <c r="P395" s="316" t="s">
        <v>711</v>
      </c>
      <c r="Q395" s="338"/>
      <c r="R395" s="316" t="s">
        <v>711</v>
      </c>
      <c r="S395" s="338"/>
      <c r="T395" s="316" t="s">
        <v>711</v>
      </c>
      <c r="U395" s="177"/>
      <c r="V395" s="316" t="s">
        <v>711</v>
      </c>
      <c r="W395" s="177"/>
      <c r="X395" s="316" t="s">
        <v>711</v>
      </c>
      <c r="Y395" s="177"/>
      <c r="Z395" s="316" t="s">
        <v>711</v>
      </c>
      <c r="AA395" s="178"/>
      <c r="AB395" s="316"/>
      <c r="AC395" s="155"/>
      <c r="AD395" s="155"/>
      <c r="AE395" s="156"/>
      <c r="AF395" s="157"/>
      <c r="AG395" s="297"/>
    </row>
    <row r="396" spans="1:33" s="72" customFormat="1" ht="49.5" x14ac:dyDescent="0.3">
      <c r="A396" s="269"/>
      <c r="B396" s="316"/>
      <c r="C396" s="316"/>
      <c r="D396" s="269"/>
      <c r="E396" s="143"/>
      <c r="F396" s="228"/>
      <c r="G396" s="228"/>
      <c r="H396" s="143"/>
      <c r="I396" s="136"/>
      <c r="J396" s="316"/>
      <c r="K396" s="158"/>
      <c r="L396" s="159"/>
      <c r="M396" s="226" t="s">
        <v>521</v>
      </c>
      <c r="N396" s="315" t="s">
        <v>725</v>
      </c>
      <c r="O396" s="316" t="s">
        <v>360</v>
      </c>
      <c r="P396" s="316" t="s">
        <v>360</v>
      </c>
      <c r="Q396" s="338"/>
      <c r="R396" s="316" t="s">
        <v>360</v>
      </c>
      <c r="S396" s="338"/>
      <c r="T396" s="316" t="s">
        <v>360</v>
      </c>
      <c r="U396" s="177"/>
      <c r="V396" s="316" t="s">
        <v>360</v>
      </c>
      <c r="W396" s="177"/>
      <c r="X396" s="316" t="s">
        <v>360</v>
      </c>
      <c r="Y396" s="177"/>
      <c r="Z396" s="316" t="s">
        <v>360</v>
      </c>
      <c r="AA396" s="178"/>
      <c r="AB396" s="316"/>
      <c r="AC396" s="155"/>
      <c r="AD396" s="155"/>
      <c r="AE396" s="156"/>
      <c r="AF396" s="157"/>
      <c r="AG396" s="297"/>
    </row>
    <row r="397" spans="1:33" s="72" customFormat="1" ht="49.5" x14ac:dyDescent="0.3">
      <c r="A397" s="269"/>
      <c r="B397" s="316"/>
      <c r="C397" s="316"/>
      <c r="D397" s="269"/>
      <c r="E397" s="143"/>
      <c r="F397" s="228"/>
      <c r="G397" s="228"/>
      <c r="H397" s="143"/>
      <c r="I397" s="136"/>
      <c r="J397" s="316"/>
      <c r="K397" s="158"/>
      <c r="L397" s="159"/>
      <c r="M397" s="226" t="s">
        <v>522</v>
      </c>
      <c r="N397" s="315" t="s">
        <v>726</v>
      </c>
      <c r="O397" s="316" t="s">
        <v>691</v>
      </c>
      <c r="P397" s="316" t="s">
        <v>691</v>
      </c>
      <c r="Q397" s="338"/>
      <c r="R397" s="316" t="s">
        <v>691</v>
      </c>
      <c r="S397" s="338"/>
      <c r="T397" s="316" t="s">
        <v>691</v>
      </c>
      <c r="U397" s="177"/>
      <c r="V397" s="316" t="s">
        <v>691</v>
      </c>
      <c r="W397" s="177"/>
      <c r="X397" s="316" t="s">
        <v>691</v>
      </c>
      <c r="Y397" s="177"/>
      <c r="Z397" s="316" t="s">
        <v>691</v>
      </c>
      <c r="AA397" s="178"/>
      <c r="AB397" s="316"/>
      <c r="AC397" s="155"/>
      <c r="AD397" s="155"/>
      <c r="AE397" s="156"/>
      <c r="AF397" s="157"/>
      <c r="AG397" s="297"/>
    </row>
    <row r="398" spans="1:33" s="72" customFormat="1" ht="33" x14ac:dyDescent="0.3">
      <c r="A398" s="269"/>
      <c r="B398" s="316"/>
      <c r="C398" s="316"/>
      <c r="D398" s="269"/>
      <c r="E398" s="143"/>
      <c r="F398" s="228"/>
      <c r="G398" s="228"/>
      <c r="H398" s="143"/>
      <c r="I398" s="136"/>
      <c r="J398" s="316"/>
      <c r="K398" s="137" t="s">
        <v>295</v>
      </c>
      <c r="L398" s="314" t="s">
        <v>291</v>
      </c>
      <c r="M398" s="519" t="s">
        <v>689</v>
      </c>
      <c r="N398" s="520"/>
      <c r="O398" s="137"/>
      <c r="P398" s="137"/>
      <c r="Q398" s="338"/>
      <c r="R398" s="137"/>
      <c r="S398" s="338"/>
      <c r="T398" s="137"/>
      <c r="U398" s="177"/>
      <c r="V398" s="137"/>
      <c r="W398" s="177"/>
      <c r="X398" s="137"/>
      <c r="Y398" s="177"/>
      <c r="Z398" s="137"/>
      <c r="AA398" s="178"/>
      <c r="AB398" s="316"/>
      <c r="AC398" s="155"/>
      <c r="AD398" s="155"/>
      <c r="AE398" s="156"/>
      <c r="AF398" s="157"/>
      <c r="AG398" s="297"/>
    </row>
    <row r="399" spans="1:33" s="72" customFormat="1" ht="33" x14ac:dyDescent="0.3">
      <c r="A399" s="269"/>
      <c r="B399" s="179"/>
      <c r="C399" s="179"/>
      <c r="D399" s="298"/>
      <c r="E399" s="180"/>
      <c r="F399" s="238"/>
      <c r="G399" s="238"/>
      <c r="H399" s="180"/>
      <c r="I399" s="181"/>
      <c r="J399" s="179"/>
      <c r="K399" s="183" t="s">
        <v>297</v>
      </c>
      <c r="L399" s="182" t="s">
        <v>291</v>
      </c>
      <c r="M399" s="198" t="s">
        <v>501</v>
      </c>
      <c r="N399" s="227"/>
      <c r="O399" s="183"/>
      <c r="P399" s="183"/>
      <c r="Q399" s="339"/>
      <c r="R399" s="183"/>
      <c r="S399" s="339"/>
      <c r="T399" s="183"/>
      <c r="U399" s="347"/>
      <c r="V399" s="183"/>
      <c r="W399" s="347"/>
      <c r="X399" s="183"/>
      <c r="Y399" s="347"/>
      <c r="Z399" s="183"/>
      <c r="AA399" s="350"/>
      <c r="AB399" s="179"/>
      <c r="AC399" s="187"/>
      <c r="AD399" s="187"/>
      <c r="AE399" s="188"/>
      <c r="AF399" s="189"/>
      <c r="AG399" s="299"/>
    </row>
    <row r="400" spans="1:33" s="72" customFormat="1" x14ac:dyDescent="0.3">
      <c r="A400" s="269"/>
      <c r="B400" s="316"/>
      <c r="C400" s="316"/>
      <c r="D400" s="269"/>
      <c r="E400" s="143"/>
      <c r="F400" s="228"/>
      <c r="G400" s="228"/>
      <c r="H400" s="143"/>
      <c r="I400" s="136"/>
      <c r="J400" s="316"/>
      <c r="K400" s="158"/>
      <c r="L400" s="159"/>
      <c r="M400" s="226"/>
      <c r="N400" s="315"/>
      <c r="O400" s="206"/>
      <c r="P400" s="206"/>
      <c r="Q400" s="338"/>
      <c r="R400" s="206"/>
      <c r="S400" s="338"/>
      <c r="T400" s="206"/>
      <c r="U400" s="177"/>
      <c r="V400" s="206"/>
      <c r="W400" s="177"/>
      <c r="X400" s="206"/>
      <c r="Y400" s="177"/>
      <c r="Z400" s="206"/>
      <c r="AA400" s="178"/>
      <c r="AB400" s="316"/>
      <c r="AC400" s="155"/>
      <c r="AD400" s="155"/>
      <c r="AE400" s="156"/>
      <c r="AF400" s="157"/>
      <c r="AG400" s="297"/>
    </row>
    <row r="401" spans="1:33" s="72" customFormat="1" ht="33" x14ac:dyDescent="0.3">
      <c r="A401" s="269"/>
      <c r="B401" s="316"/>
      <c r="C401" s="316"/>
      <c r="D401" s="269"/>
      <c r="E401" s="143">
        <v>1</v>
      </c>
      <c r="F401" s="228" t="s">
        <v>131</v>
      </c>
      <c r="G401" s="228" t="s">
        <v>131</v>
      </c>
      <c r="H401" s="143">
        <v>11</v>
      </c>
      <c r="I401" s="136">
        <v>5</v>
      </c>
      <c r="J401" s="316" t="s">
        <v>387</v>
      </c>
      <c r="K401" s="158" t="s">
        <v>290</v>
      </c>
      <c r="L401" s="159" t="s">
        <v>291</v>
      </c>
      <c r="M401" s="514" t="s">
        <v>312</v>
      </c>
      <c r="N401" s="515"/>
      <c r="O401" s="316" t="s">
        <v>301</v>
      </c>
      <c r="P401" s="316" t="s">
        <v>301</v>
      </c>
      <c r="Q401" s="338">
        <v>2126624000</v>
      </c>
      <c r="R401" s="316" t="s">
        <v>301</v>
      </c>
      <c r="S401" s="334">
        <f>Q401+(Q401*5%)-200</f>
        <v>2232955000</v>
      </c>
      <c r="T401" s="316" t="s">
        <v>301</v>
      </c>
      <c r="U401" s="334">
        <f>S401+(S401*10%)-500</f>
        <v>2456250000</v>
      </c>
      <c r="V401" s="316" t="s">
        <v>301</v>
      </c>
      <c r="W401" s="334">
        <f>U401+(U401*10%)</f>
        <v>2701875000</v>
      </c>
      <c r="X401" s="316" t="s">
        <v>301</v>
      </c>
      <c r="Y401" s="334">
        <f>W401+(W401*10%)-500</f>
        <v>2972062000</v>
      </c>
      <c r="Z401" s="316" t="s">
        <v>301</v>
      </c>
      <c r="AA401" s="178">
        <f>Y401+W401+U401+S401+Q401</f>
        <v>12489766000</v>
      </c>
      <c r="AB401" s="316" t="s">
        <v>66</v>
      </c>
      <c r="AC401" s="155"/>
      <c r="AD401" s="155"/>
      <c r="AE401" s="156"/>
      <c r="AF401" s="157"/>
      <c r="AG401" s="316" t="s">
        <v>1054</v>
      </c>
    </row>
    <row r="402" spans="1:33" s="72" customFormat="1" ht="49.5" x14ac:dyDescent="0.3">
      <c r="A402" s="269"/>
      <c r="B402" s="316"/>
      <c r="C402" s="316"/>
      <c r="D402" s="269"/>
      <c r="E402" s="143"/>
      <c r="F402" s="228"/>
      <c r="G402" s="228"/>
      <c r="H402" s="143"/>
      <c r="I402" s="136"/>
      <c r="J402" s="316"/>
      <c r="K402" s="158" t="s">
        <v>293</v>
      </c>
      <c r="L402" s="159" t="s">
        <v>291</v>
      </c>
      <c r="M402" s="160" t="s">
        <v>299</v>
      </c>
      <c r="N402" s="225" t="s">
        <v>694</v>
      </c>
      <c r="O402" s="206" t="s">
        <v>695</v>
      </c>
      <c r="P402" s="206" t="s">
        <v>695</v>
      </c>
      <c r="Q402" s="338"/>
      <c r="R402" s="206" t="s">
        <v>695</v>
      </c>
      <c r="S402" s="338"/>
      <c r="T402" s="206" t="s">
        <v>695</v>
      </c>
      <c r="U402" s="177"/>
      <c r="V402" s="206" t="s">
        <v>695</v>
      </c>
      <c r="W402" s="177"/>
      <c r="X402" s="206" t="s">
        <v>695</v>
      </c>
      <c r="Y402" s="177"/>
      <c r="Z402" s="206" t="s">
        <v>695</v>
      </c>
      <c r="AA402" s="178"/>
      <c r="AB402" s="316"/>
      <c r="AC402" s="155"/>
      <c r="AD402" s="155"/>
      <c r="AE402" s="156"/>
      <c r="AF402" s="157"/>
      <c r="AG402" s="297"/>
    </row>
    <row r="403" spans="1:33" s="72" customFormat="1" ht="82.5" x14ac:dyDescent="0.3">
      <c r="A403" s="269"/>
      <c r="B403" s="316"/>
      <c r="C403" s="316"/>
      <c r="D403" s="269"/>
      <c r="E403" s="143"/>
      <c r="F403" s="228"/>
      <c r="G403" s="228"/>
      <c r="H403" s="143"/>
      <c r="I403" s="136"/>
      <c r="J403" s="316"/>
      <c r="K403" s="158"/>
      <c r="L403" s="159"/>
      <c r="M403" s="160" t="s">
        <v>303</v>
      </c>
      <c r="N403" s="315" t="s">
        <v>727</v>
      </c>
      <c r="O403" s="316" t="s">
        <v>711</v>
      </c>
      <c r="P403" s="316" t="s">
        <v>711</v>
      </c>
      <c r="Q403" s="338"/>
      <c r="R403" s="316" t="s">
        <v>711</v>
      </c>
      <c r="S403" s="338"/>
      <c r="T403" s="316" t="s">
        <v>711</v>
      </c>
      <c r="U403" s="177"/>
      <c r="V403" s="316" t="s">
        <v>711</v>
      </c>
      <c r="W403" s="177"/>
      <c r="X403" s="316" t="s">
        <v>711</v>
      </c>
      <c r="Y403" s="177"/>
      <c r="Z403" s="316" t="s">
        <v>711</v>
      </c>
      <c r="AA403" s="178"/>
      <c r="AB403" s="316"/>
      <c r="AC403" s="155"/>
      <c r="AD403" s="155"/>
      <c r="AE403" s="156"/>
      <c r="AF403" s="157"/>
      <c r="AG403" s="297"/>
    </row>
    <row r="404" spans="1:33" s="72" customFormat="1" ht="99" x14ac:dyDescent="0.3">
      <c r="A404" s="269"/>
      <c r="B404" s="316"/>
      <c r="C404" s="316"/>
      <c r="D404" s="269"/>
      <c r="E404" s="143"/>
      <c r="F404" s="228"/>
      <c r="G404" s="228"/>
      <c r="H404" s="143"/>
      <c r="I404" s="136"/>
      <c r="J404" s="316"/>
      <c r="K404" s="158"/>
      <c r="L404" s="159"/>
      <c r="M404" s="160" t="s">
        <v>318</v>
      </c>
      <c r="N404" s="205" t="s">
        <v>704</v>
      </c>
      <c r="O404" s="206" t="s">
        <v>728</v>
      </c>
      <c r="P404" s="206" t="s">
        <v>728</v>
      </c>
      <c r="Q404" s="338"/>
      <c r="R404" s="206" t="s">
        <v>728</v>
      </c>
      <c r="S404" s="338"/>
      <c r="T404" s="206" t="s">
        <v>728</v>
      </c>
      <c r="U404" s="177"/>
      <c r="V404" s="206" t="s">
        <v>728</v>
      </c>
      <c r="W404" s="177"/>
      <c r="X404" s="206" t="s">
        <v>728</v>
      </c>
      <c r="Y404" s="177"/>
      <c r="Z404" s="206" t="s">
        <v>728</v>
      </c>
      <c r="AA404" s="178"/>
      <c r="AB404" s="316"/>
      <c r="AC404" s="155"/>
      <c r="AD404" s="155"/>
      <c r="AE404" s="156"/>
      <c r="AF404" s="157"/>
      <c r="AG404" s="297"/>
    </row>
    <row r="405" spans="1:33" s="72" customFormat="1" ht="49.5" x14ac:dyDescent="0.3">
      <c r="A405" s="269"/>
      <c r="B405" s="316"/>
      <c r="C405" s="316"/>
      <c r="D405" s="269"/>
      <c r="E405" s="143"/>
      <c r="F405" s="228"/>
      <c r="G405" s="228"/>
      <c r="H405" s="143"/>
      <c r="I405" s="136"/>
      <c r="J405" s="316"/>
      <c r="K405" s="158"/>
      <c r="L405" s="159"/>
      <c r="M405" s="160" t="s">
        <v>331</v>
      </c>
      <c r="N405" s="205" t="s">
        <v>708</v>
      </c>
      <c r="O405" s="206" t="s">
        <v>709</v>
      </c>
      <c r="P405" s="206" t="s">
        <v>709</v>
      </c>
      <c r="Q405" s="338"/>
      <c r="R405" s="206" t="s">
        <v>709</v>
      </c>
      <c r="S405" s="338"/>
      <c r="T405" s="206" t="s">
        <v>709</v>
      </c>
      <c r="U405" s="177"/>
      <c r="V405" s="206" t="s">
        <v>709</v>
      </c>
      <c r="W405" s="177"/>
      <c r="X405" s="206" t="s">
        <v>709</v>
      </c>
      <c r="Y405" s="177"/>
      <c r="Z405" s="206" t="s">
        <v>709</v>
      </c>
      <c r="AA405" s="178"/>
      <c r="AB405" s="316"/>
      <c r="AC405" s="155"/>
      <c r="AD405" s="155"/>
      <c r="AE405" s="156"/>
      <c r="AF405" s="157"/>
      <c r="AG405" s="297"/>
    </row>
    <row r="406" spans="1:33" s="72" customFormat="1" ht="99" x14ac:dyDescent="0.3">
      <c r="A406" s="269"/>
      <c r="B406" s="316"/>
      <c r="C406" s="316"/>
      <c r="D406" s="269"/>
      <c r="E406" s="143"/>
      <c r="F406" s="228"/>
      <c r="G406" s="228"/>
      <c r="H406" s="143"/>
      <c r="I406" s="136"/>
      <c r="J406" s="316"/>
      <c r="K406" s="158"/>
      <c r="L406" s="159"/>
      <c r="M406" s="160" t="s">
        <v>353</v>
      </c>
      <c r="N406" s="315" t="s">
        <v>690</v>
      </c>
      <c r="O406" s="316" t="s">
        <v>691</v>
      </c>
      <c r="P406" s="316" t="s">
        <v>691</v>
      </c>
      <c r="Q406" s="338"/>
      <c r="R406" s="316" t="s">
        <v>691</v>
      </c>
      <c r="S406" s="338"/>
      <c r="T406" s="316" t="s">
        <v>691</v>
      </c>
      <c r="U406" s="177"/>
      <c r="V406" s="316" t="s">
        <v>691</v>
      </c>
      <c r="W406" s="177"/>
      <c r="X406" s="316" t="s">
        <v>691</v>
      </c>
      <c r="Y406" s="177"/>
      <c r="Z406" s="316" t="s">
        <v>691</v>
      </c>
      <c r="AA406" s="178"/>
      <c r="AB406" s="316"/>
      <c r="AC406" s="155"/>
      <c r="AD406" s="155"/>
      <c r="AE406" s="156"/>
      <c r="AF406" s="157"/>
      <c r="AG406" s="297"/>
    </row>
    <row r="407" spans="1:33" s="72" customFormat="1" ht="49.5" x14ac:dyDescent="0.3">
      <c r="A407" s="269"/>
      <c r="B407" s="316"/>
      <c r="C407" s="316"/>
      <c r="D407" s="269"/>
      <c r="E407" s="143"/>
      <c r="F407" s="228"/>
      <c r="G407" s="228"/>
      <c r="H407" s="143"/>
      <c r="I407" s="136"/>
      <c r="J407" s="316"/>
      <c r="K407" s="158"/>
      <c r="L407" s="159"/>
      <c r="M407" s="160" t="s">
        <v>352</v>
      </c>
      <c r="N407" s="205" t="s">
        <v>651</v>
      </c>
      <c r="O407" s="316" t="s">
        <v>652</v>
      </c>
      <c r="P407" s="316" t="s">
        <v>652</v>
      </c>
      <c r="Q407" s="338"/>
      <c r="R407" s="316" t="s">
        <v>652</v>
      </c>
      <c r="S407" s="338"/>
      <c r="T407" s="316" t="s">
        <v>652</v>
      </c>
      <c r="U407" s="177"/>
      <c r="V407" s="316" t="s">
        <v>652</v>
      </c>
      <c r="W407" s="177"/>
      <c r="X407" s="316" t="s">
        <v>652</v>
      </c>
      <c r="Y407" s="177"/>
      <c r="Z407" s="316" t="s">
        <v>652</v>
      </c>
      <c r="AA407" s="178"/>
      <c r="AB407" s="316"/>
      <c r="AC407" s="155"/>
      <c r="AD407" s="155"/>
      <c r="AE407" s="156"/>
      <c r="AF407" s="157"/>
      <c r="AG407" s="297"/>
    </row>
    <row r="408" spans="1:33" s="72" customFormat="1" ht="33" x14ac:dyDescent="0.3">
      <c r="A408" s="269"/>
      <c r="B408" s="316"/>
      <c r="C408" s="316"/>
      <c r="D408" s="269"/>
      <c r="E408" s="143"/>
      <c r="F408" s="228"/>
      <c r="G408" s="228"/>
      <c r="H408" s="143"/>
      <c r="I408" s="136"/>
      <c r="J408" s="316"/>
      <c r="K408" s="137"/>
      <c r="L408" s="314"/>
      <c r="M408" s="226" t="s">
        <v>402</v>
      </c>
      <c r="N408" s="205" t="s">
        <v>653</v>
      </c>
      <c r="O408" s="316" t="s">
        <v>654</v>
      </c>
      <c r="P408" s="316" t="s">
        <v>654</v>
      </c>
      <c r="Q408" s="338"/>
      <c r="R408" s="316" t="s">
        <v>654</v>
      </c>
      <c r="S408" s="338"/>
      <c r="T408" s="316" t="s">
        <v>654</v>
      </c>
      <c r="U408" s="177"/>
      <c r="V408" s="316" t="s">
        <v>654</v>
      </c>
      <c r="W408" s="177"/>
      <c r="X408" s="316" t="s">
        <v>654</v>
      </c>
      <c r="Y408" s="177"/>
      <c r="Z408" s="316" t="s">
        <v>654</v>
      </c>
      <c r="AA408" s="178"/>
      <c r="AB408" s="316"/>
      <c r="AC408" s="155"/>
      <c r="AD408" s="155"/>
      <c r="AE408" s="156"/>
      <c r="AF408" s="157"/>
      <c r="AG408" s="297"/>
    </row>
    <row r="409" spans="1:33" s="72" customFormat="1" ht="49.5" x14ac:dyDescent="0.3">
      <c r="A409" s="269"/>
      <c r="B409" s="316"/>
      <c r="C409" s="316"/>
      <c r="D409" s="269"/>
      <c r="E409" s="143"/>
      <c r="F409" s="228"/>
      <c r="G409" s="228"/>
      <c r="H409" s="143"/>
      <c r="I409" s="136"/>
      <c r="J409" s="316"/>
      <c r="K409" s="137"/>
      <c r="L409" s="314"/>
      <c r="M409" s="226" t="s">
        <v>453</v>
      </c>
      <c r="N409" s="205" t="s">
        <v>655</v>
      </c>
      <c r="O409" s="206" t="s">
        <v>729</v>
      </c>
      <c r="P409" s="206" t="s">
        <v>729</v>
      </c>
      <c r="Q409" s="338"/>
      <c r="R409" s="206" t="s">
        <v>729</v>
      </c>
      <c r="S409" s="338"/>
      <c r="T409" s="206" t="s">
        <v>729</v>
      </c>
      <c r="U409" s="177"/>
      <c r="V409" s="206" t="s">
        <v>729</v>
      </c>
      <c r="W409" s="177"/>
      <c r="X409" s="206" t="s">
        <v>729</v>
      </c>
      <c r="Y409" s="177"/>
      <c r="Z409" s="206" t="s">
        <v>729</v>
      </c>
      <c r="AA409" s="178"/>
      <c r="AB409" s="316"/>
      <c r="AC409" s="155"/>
      <c r="AD409" s="155"/>
      <c r="AE409" s="156"/>
      <c r="AF409" s="157"/>
      <c r="AG409" s="297"/>
    </row>
    <row r="410" spans="1:33" s="72" customFormat="1" ht="49.5" x14ac:dyDescent="0.3">
      <c r="A410" s="269"/>
      <c r="B410" s="316"/>
      <c r="C410" s="316"/>
      <c r="D410" s="269"/>
      <c r="E410" s="143"/>
      <c r="F410" s="228"/>
      <c r="G410" s="228"/>
      <c r="H410" s="143"/>
      <c r="I410" s="136"/>
      <c r="J410" s="316"/>
      <c r="K410" s="158" t="s">
        <v>294</v>
      </c>
      <c r="L410" s="159" t="s">
        <v>291</v>
      </c>
      <c r="M410" s="226" t="s">
        <v>299</v>
      </c>
      <c r="N410" s="315" t="s">
        <v>717</v>
      </c>
      <c r="O410" s="206" t="s">
        <v>695</v>
      </c>
      <c r="P410" s="206" t="s">
        <v>695</v>
      </c>
      <c r="Q410" s="338"/>
      <c r="R410" s="206" t="s">
        <v>695</v>
      </c>
      <c r="S410" s="338"/>
      <c r="T410" s="206" t="s">
        <v>695</v>
      </c>
      <c r="U410" s="177"/>
      <c r="V410" s="206" t="s">
        <v>695</v>
      </c>
      <c r="W410" s="177"/>
      <c r="X410" s="206" t="s">
        <v>695</v>
      </c>
      <c r="Y410" s="177"/>
      <c r="Z410" s="206" t="s">
        <v>695</v>
      </c>
      <c r="AA410" s="178"/>
      <c r="AB410" s="316"/>
      <c r="AC410" s="155"/>
      <c r="AD410" s="155"/>
      <c r="AE410" s="156"/>
      <c r="AF410" s="157"/>
      <c r="AG410" s="297"/>
    </row>
    <row r="411" spans="1:33" s="72" customFormat="1" ht="66" x14ac:dyDescent="0.3">
      <c r="A411" s="269"/>
      <c r="B411" s="316"/>
      <c r="C411" s="316"/>
      <c r="D411" s="269"/>
      <c r="E411" s="143"/>
      <c r="F411" s="228"/>
      <c r="G411" s="228"/>
      <c r="H411" s="143"/>
      <c r="I411" s="136"/>
      <c r="J411" s="316"/>
      <c r="K411" s="158"/>
      <c r="L411" s="159"/>
      <c r="M411" s="226" t="s">
        <v>303</v>
      </c>
      <c r="N411" s="315" t="s">
        <v>724</v>
      </c>
      <c r="O411" s="316" t="s">
        <v>711</v>
      </c>
      <c r="P411" s="316" t="s">
        <v>711</v>
      </c>
      <c r="Q411" s="338"/>
      <c r="R411" s="316" t="s">
        <v>711</v>
      </c>
      <c r="S411" s="338"/>
      <c r="T411" s="316" t="s">
        <v>711</v>
      </c>
      <c r="U411" s="177"/>
      <c r="V411" s="316" t="s">
        <v>711</v>
      </c>
      <c r="W411" s="177"/>
      <c r="X411" s="316" t="s">
        <v>711</v>
      </c>
      <c r="Y411" s="177"/>
      <c r="Z411" s="316" t="s">
        <v>711</v>
      </c>
      <c r="AA411" s="178"/>
      <c r="AB411" s="316"/>
      <c r="AC411" s="155"/>
      <c r="AD411" s="155"/>
      <c r="AE411" s="156"/>
      <c r="AF411" s="157"/>
      <c r="AG411" s="297"/>
    </row>
    <row r="412" spans="1:33" s="72" customFormat="1" ht="82.5" x14ac:dyDescent="0.3">
      <c r="A412" s="269"/>
      <c r="B412" s="316"/>
      <c r="C412" s="316"/>
      <c r="D412" s="269"/>
      <c r="E412" s="143"/>
      <c r="F412" s="228"/>
      <c r="G412" s="228"/>
      <c r="H412" s="143"/>
      <c r="I412" s="136"/>
      <c r="J412" s="316"/>
      <c r="K412" s="158"/>
      <c r="L412" s="159"/>
      <c r="M412" s="226" t="s">
        <v>318</v>
      </c>
      <c r="N412" s="315" t="s">
        <v>720</v>
      </c>
      <c r="O412" s="206" t="s">
        <v>728</v>
      </c>
      <c r="P412" s="206" t="s">
        <v>728</v>
      </c>
      <c r="Q412" s="338"/>
      <c r="R412" s="206" t="s">
        <v>728</v>
      </c>
      <c r="S412" s="338"/>
      <c r="T412" s="206" t="s">
        <v>728</v>
      </c>
      <c r="U412" s="177"/>
      <c r="V412" s="206" t="s">
        <v>728</v>
      </c>
      <c r="W412" s="177"/>
      <c r="X412" s="206" t="s">
        <v>728</v>
      </c>
      <c r="Y412" s="177"/>
      <c r="Z412" s="206" t="s">
        <v>728</v>
      </c>
      <c r="AA412" s="178"/>
      <c r="AB412" s="316"/>
      <c r="AC412" s="155"/>
      <c r="AD412" s="155"/>
      <c r="AE412" s="156"/>
      <c r="AF412" s="157"/>
      <c r="AG412" s="297"/>
    </row>
    <row r="413" spans="1:33" s="72" customFormat="1" ht="82.5" x14ac:dyDescent="0.3">
      <c r="A413" s="269"/>
      <c r="B413" s="316"/>
      <c r="C413" s="316"/>
      <c r="D413" s="269"/>
      <c r="E413" s="143"/>
      <c r="F413" s="228"/>
      <c r="G413" s="228"/>
      <c r="H413" s="143"/>
      <c r="I413" s="136"/>
      <c r="J413" s="316"/>
      <c r="K413" s="158"/>
      <c r="L413" s="159"/>
      <c r="M413" s="226" t="s">
        <v>331</v>
      </c>
      <c r="N413" s="315" t="s">
        <v>723</v>
      </c>
      <c r="O413" s="206" t="s">
        <v>709</v>
      </c>
      <c r="P413" s="206" t="s">
        <v>709</v>
      </c>
      <c r="Q413" s="338"/>
      <c r="R413" s="206" t="s">
        <v>709</v>
      </c>
      <c r="S413" s="338"/>
      <c r="T413" s="206" t="s">
        <v>709</v>
      </c>
      <c r="U413" s="177"/>
      <c r="V413" s="206" t="s">
        <v>709</v>
      </c>
      <c r="W413" s="177"/>
      <c r="X413" s="206" t="s">
        <v>709</v>
      </c>
      <c r="Y413" s="177"/>
      <c r="Z413" s="206" t="s">
        <v>709</v>
      </c>
      <c r="AA413" s="178"/>
      <c r="AB413" s="316"/>
      <c r="AC413" s="155"/>
      <c r="AD413" s="155"/>
      <c r="AE413" s="156"/>
      <c r="AF413" s="157"/>
      <c r="AG413" s="297"/>
    </row>
    <row r="414" spans="1:33" s="72" customFormat="1" ht="66" x14ac:dyDescent="0.3">
      <c r="A414" s="269"/>
      <c r="B414" s="316"/>
      <c r="C414" s="316"/>
      <c r="D414" s="269"/>
      <c r="E414" s="143"/>
      <c r="F414" s="228"/>
      <c r="G414" s="228"/>
      <c r="H414" s="143"/>
      <c r="I414" s="136"/>
      <c r="J414" s="316"/>
      <c r="K414" s="158"/>
      <c r="L414" s="159"/>
      <c r="M414" s="226" t="s">
        <v>353</v>
      </c>
      <c r="N414" s="315" t="s">
        <v>715</v>
      </c>
      <c r="O414" s="316" t="s">
        <v>432</v>
      </c>
      <c r="P414" s="316" t="s">
        <v>432</v>
      </c>
      <c r="Q414" s="338"/>
      <c r="R414" s="316" t="s">
        <v>432</v>
      </c>
      <c r="S414" s="338"/>
      <c r="T414" s="316" t="s">
        <v>432</v>
      </c>
      <c r="U414" s="177"/>
      <c r="V414" s="316" t="s">
        <v>432</v>
      </c>
      <c r="W414" s="177"/>
      <c r="X414" s="316" t="s">
        <v>432</v>
      </c>
      <c r="Y414" s="177"/>
      <c r="Z414" s="316" t="s">
        <v>432</v>
      </c>
      <c r="AA414" s="178"/>
      <c r="AB414" s="316"/>
      <c r="AC414" s="155"/>
      <c r="AD414" s="155"/>
      <c r="AE414" s="156"/>
      <c r="AF414" s="157"/>
      <c r="AG414" s="297"/>
    </row>
    <row r="415" spans="1:33" s="72" customFormat="1" ht="49.5" x14ac:dyDescent="0.3">
      <c r="A415" s="269"/>
      <c r="B415" s="316"/>
      <c r="C415" s="316"/>
      <c r="D415" s="269"/>
      <c r="E415" s="143"/>
      <c r="F415" s="228"/>
      <c r="G415" s="228"/>
      <c r="H415" s="143"/>
      <c r="I415" s="136"/>
      <c r="J415" s="316"/>
      <c r="K415" s="158"/>
      <c r="L415" s="159"/>
      <c r="M415" s="226" t="s">
        <v>352</v>
      </c>
      <c r="N415" s="315" t="s">
        <v>730</v>
      </c>
      <c r="O415" s="316" t="s">
        <v>652</v>
      </c>
      <c r="P415" s="316" t="s">
        <v>652</v>
      </c>
      <c r="Q415" s="338"/>
      <c r="R415" s="316" t="s">
        <v>652</v>
      </c>
      <c r="S415" s="338"/>
      <c r="T415" s="316" t="s">
        <v>652</v>
      </c>
      <c r="U415" s="177"/>
      <c r="V415" s="316" t="s">
        <v>652</v>
      </c>
      <c r="W415" s="177"/>
      <c r="X415" s="316" t="s">
        <v>652</v>
      </c>
      <c r="Y415" s="177"/>
      <c r="Z415" s="316" t="s">
        <v>652</v>
      </c>
      <c r="AA415" s="178"/>
      <c r="AB415" s="316"/>
      <c r="AC415" s="155"/>
      <c r="AD415" s="155"/>
      <c r="AE415" s="156"/>
      <c r="AF415" s="157"/>
      <c r="AG415" s="297"/>
    </row>
    <row r="416" spans="1:33" s="72" customFormat="1" ht="82.5" x14ac:dyDescent="0.3">
      <c r="A416" s="269"/>
      <c r="B416" s="316"/>
      <c r="C416" s="316"/>
      <c r="D416" s="269"/>
      <c r="E416" s="143"/>
      <c r="F416" s="228"/>
      <c r="G416" s="228"/>
      <c r="H416" s="143"/>
      <c r="I416" s="143"/>
      <c r="J416" s="316"/>
      <c r="K416" s="158"/>
      <c r="L416" s="159"/>
      <c r="M416" s="226" t="s">
        <v>402</v>
      </c>
      <c r="N416" s="315" t="s">
        <v>731</v>
      </c>
      <c r="O416" s="316" t="s">
        <v>654</v>
      </c>
      <c r="P416" s="316" t="s">
        <v>654</v>
      </c>
      <c r="Q416" s="338"/>
      <c r="R416" s="316" t="s">
        <v>654</v>
      </c>
      <c r="S416" s="338"/>
      <c r="T416" s="316" t="s">
        <v>654</v>
      </c>
      <c r="U416" s="177"/>
      <c r="V416" s="316" t="s">
        <v>654</v>
      </c>
      <c r="W416" s="177"/>
      <c r="X416" s="316" t="s">
        <v>654</v>
      </c>
      <c r="Y416" s="177"/>
      <c r="Z416" s="316" t="s">
        <v>654</v>
      </c>
      <c r="AA416" s="178"/>
      <c r="AB416" s="316"/>
      <c r="AC416" s="245"/>
      <c r="AD416" s="155"/>
      <c r="AE416" s="156"/>
      <c r="AF416" s="157"/>
      <c r="AG416" s="297"/>
    </row>
    <row r="417" spans="1:33" s="72" customFormat="1" ht="66" x14ac:dyDescent="0.3">
      <c r="A417" s="269"/>
      <c r="B417" s="316"/>
      <c r="C417" s="316"/>
      <c r="D417" s="269"/>
      <c r="E417" s="143"/>
      <c r="F417" s="228"/>
      <c r="G417" s="228"/>
      <c r="H417" s="143"/>
      <c r="I417" s="136"/>
      <c r="J417" s="316"/>
      <c r="K417" s="158"/>
      <c r="L417" s="159"/>
      <c r="M417" s="226" t="s">
        <v>453</v>
      </c>
      <c r="N417" s="315" t="s">
        <v>678</v>
      </c>
      <c r="O417" s="206" t="s">
        <v>729</v>
      </c>
      <c r="P417" s="206" t="s">
        <v>729</v>
      </c>
      <c r="Q417" s="338"/>
      <c r="R417" s="206" t="s">
        <v>729</v>
      </c>
      <c r="S417" s="338"/>
      <c r="T417" s="206" t="s">
        <v>729</v>
      </c>
      <c r="U417" s="177"/>
      <c r="V417" s="206" t="s">
        <v>729</v>
      </c>
      <c r="W417" s="177"/>
      <c r="X417" s="206" t="s">
        <v>729</v>
      </c>
      <c r="Y417" s="177"/>
      <c r="Z417" s="206" t="s">
        <v>729</v>
      </c>
      <c r="AA417" s="178"/>
      <c r="AB417" s="316"/>
      <c r="AC417" s="155"/>
      <c r="AD417" s="155"/>
      <c r="AE417" s="156"/>
      <c r="AF417" s="157"/>
      <c r="AG417" s="297"/>
    </row>
    <row r="418" spans="1:33" ht="33" x14ac:dyDescent="0.3">
      <c r="B418" s="316"/>
      <c r="C418" s="316"/>
      <c r="E418" s="143"/>
      <c r="F418" s="228"/>
      <c r="G418" s="228"/>
      <c r="H418" s="143"/>
      <c r="I418" s="143"/>
      <c r="J418" s="316"/>
      <c r="K418" s="137" t="s">
        <v>295</v>
      </c>
      <c r="L418" s="314" t="s">
        <v>291</v>
      </c>
      <c r="M418" s="519" t="s">
        <v>689</v>
      </c>
      <c r="N418" s="520"/>
      <c r="O418" s="137"/>
      <c r="P418" s="137"/>
      <c r="Q418" s="338"/>
      <c r="R418" s="137"/>
      <c r="S418" s="338"/>
      <c r="T418" s="137"/>
      <c r="U418" s="177"/>
      <c r="V418" s="137"/>
      <c r="W418" s="177"/>
      <c r="X418" s="137"/>
      <c r="Y418" s="177"/>
      <c r="Z418" s="137"/>
      <c r="AA418" s="178"/>
      <c r="AB418" s="316"/>
      <c r="AC418" s="155"/>
      <c r="AD418" s="155"/>
      <c r="AE418" s="156"/>
      <c r="AF418" s="157"/>
      <c r="AG418" s="297"/>
    </row>
    <row r="419" spans="1:33" ht="33" x14ac:dyDescent="0.3">
      <c r="B419" s="179"/>
      <c r="C419" s="179"/>
      <c r="D419" s="298"/>
      <c r="E419" s="180"/>
      <c r="F419" s="238"/>
      <c r="G419" s="238"/>
      <c r="H419" s="180"/>
      <c r="I419" s="180"/>
      <c r="J419" s="179"/>
      <c r="K419" s="183" t="s">
        <v>297</v>
      </c>
      <c r="L419" s="182" t="s">
        <v>291</v>
      </c>
      <c r="M419" s="230" t="s">
        <v>501</v>
      </c>
      <c r="N419" s="227"/>
      <c r="O419" s="183"/>
      <c r="P419" s="183"/>
      <c r="Q419" s="339"/>
      <c r="R419" s="183"/>
      <c r="S419" s="339"/>
      <c r="T419" s="183"/>
      <c r="U419" s="347"/>
      <c r="V419" s="183"/>
      <c r="W419" s="347"/>
      <c r="X419" s="183"/>
      <c r="Y419" s="347"/>
      <c r="Z419" s="183"/>
      <c r="AA419" s="350"/>
      <c r="AB419" s="179"/>
      <c r="AC419" s="187"/>
      <c r="AD419" s="187"/>
      <c r="AE419" s="188"/>
      <c r="AF419" s="189"/>
      <c r="AG419" s="299"/>
    </row>
    <row r="420" spans="1:33" x14ac:dyDescent="0.3">
      <c r="B420" s="316"/>
      <c r="C420" s="316"/>
      <c r="E420" s="143"/>
      <c r="F420" s="228"/>
      <c r="G420" s="228"/>
      <c r="H420" s="143"/>
      <c r="I420" s="143"/>
      <c r="J420" s="316"/>
      <c r="K420" s="137"/>
      <c r="L420" s="314"/>
      <c r="M420" s="322"/>
      <c r="N420" s="323"/>
      <c r="O420" s="137"/>
      <c r="P420" s="137"/>
      <c r="Q420" s="338"/>
      <c r="R420" s="137"/>
      <c r="S420" s="338"/>
      <c r="T420" s="137"/>
      <c r="U420" s="177"/>
      <c r="V420" s="137"/>
      <c r="W420" s="177"/>
      <c r="X420" s="137"/>
      <c r="Y420" s="177"/>
      <c r="Z420" s="137"/>
      <c r="AA420" s="178"/>
      <c r="AB420" s="316"/>
      <c r="AC420" s="155"/>
      <c r="AD420" s="155"/>
      <c r="AE420" s="156"/>
      <c r="AF420" s="157"/>
      <c r="AG420" s="297"/>
    </row>
    <row r="421" spans="1:33" s="110" customFormat="1" ht="198" x14ac:dyDescent="0.35">
      <c r="A421" s="279"/>
      <c r="B421" s="127" t="s">
        <v>1059</v>
      </c>
      <c r="C421" s="127" t="s">
        <v>286</v>
      </c>
      <c r="D421" s="127" t="s">
        <v>1062</v>
      </c>
      <c r="E421" s="128">
        <v>1</v>
      </c>
      <c r="F421" s="235" t="s">
        <v>131</v>
      </c>
      <c r="G421" s="235" t="s">
        <v>131</v>
      </c>
      <c r="H421" s="128">
        <v>12</v>
      </c>
      <c r="I421" s="128"/>
      <c r="J421" s="127" t="s">
        <v>171</v>
      </c>
      <c r="K421" s="511" t="s">
        <v>732</v>
      </c>
      <c r="L421" s="512"/>
      <c r="M421" s="512"/>
      <c r="N421" s="513"/>
      <c r="O421" s="244">
        <f>10/111*100</f>
        <v>9.0090090090090094</v>
      </c>
      <c r="P421" s="243" t="s">
        <v>1022</v>
      </c>
      <c r="Q421" s="333">
        <f>SUM(Q423:Q565)</f>
        <v>17357764000</v>
      </c>
      <c r="R421" s="243" t="s">
        <v>1023</v>
      </c>
      <c r="S421" s="333">
        <f>SUM(S423:S565)</f>
        <v>19085540400</v>
      </c>
      <c r="T421" s="243" t="s">
        <v>1041</v>
      </c>
      <c r="U421" s="333">
        <f>SUM(U423:U565)</f>
        <v>20985694440</v>
      </c>
      <c r="V421" s="243" t="s">
        <v>1042</v>
      </c>
      <c r="W421" s="333">
        <f>SUM(W423:W565)</f>
        <v>23075443884</v>
      </c>
      <c r="X421" s="243" t="s">
        <v>1043</v>
      </c>
      <c r="Y421" s="333">
        <f>SUM(Y423:Y565)</f>
        <v>27672010661.400002</v>
      </c>
      <c r="Z421" s="243" t="s">
        <v>1043</v>
      </c>
      <c r="AA421" s="351">
        <f>Y421+W421+U421+S421+Q421</f>
        <v>108176453385.39999</v>
      </c>
      <c r="AB421" s="127" t="s">
        <v>66</v>
      </c>
      <c r="AC421" s="224"/>
      <c r="AD421" s="224"/>
      <c r="AE421" s="203"/>
      <c r="AF421" s="204"/>
      <c r="AG421" s="316" t="s">
        <v>154</v>
      </c>
    </row>
    <row r="422" spans="1:33" s="87" customFormat="1" ht="18" x14ac:dyDescent="0.35">
      <c r="A422" s="270"/>
      <c r="B422" s="127"/>
      <c r="C422" s="127"/>
      <c r="D422" s="270"/>
      <c r="E422" s="128"/>
      <c r="F422" s="235"/>
      <c r="G422" s="235"/>
      <c r="H422" s="128"/>
      <c r="I422" s="128"/>
      <c r="J422" s="127"/>
      <c r="K422" s="511"/>
      <c r="L422" s="512"/>
      <c r="M422" s="512"/>
      <c r="N422" s="513"/>
      <c r="O422" s="244"/>
      <c r="P422" s="244"/>
      <c r="Q422" s="333"/>
      <c r="R422" s="244"/>
      <c r="S422" s="333"/>
      <c r="T422" s="244"/>
      <c r="U422" s="346"/>
      <c r="V422" s="244"/>
      <c r="W422" s="346"/>
      <c r="X422" s="244"/>
      <c r="Y422" s="346"/>
      <c r="Z422" s="244"/>
      <c r="AA422" s="351"/>
      <c r="AB422" s="127"/>
      <c r="AC422" s="224"/>
      <c r="AD422" s="224"/>
      <c r="AE422" s="203"/>
      <c r="AF422" s="204"/>
      <c r="AG422" s="316"/>
    </row>
    <row r="423" spans="1:33" s="81" customFormat="1" ht="18" x14ac:dyDescent="0.3">
      <c r="A423" s="300"/>
      <c r="B423" s="316"/>
      <c r="C423" s="316"/>
      <c r="D423" s="300"/>
      <c r="E423" s="128"/>
      <c r="F423" s="128"/>
      <c r="G423" s="128"/>
      <c r="H423" s="128"/>
      <c r="I423" s="128"/>
      <c r="J423" s="127" t="s">
        <v>63</v>
      </c>
      <c r="K423" s="137"/>
      <c r="L423" s="314"/>
      <c r="M423" s="301"/>
      <c r="N423" s="225"/>
      <c r="O423" s="316"/>
      <c r="P423" s="316"/>
      <c r="Q423" s="338"/>
      <c r="R423" s="316"/>
      <c r="S423" s="338"/>
      <c r="T423" s="316"/>
      <c r="U423" s="177"/>
      <c r="V423" s="316"/>
      <c r="W423" s="177"/>
      <c r="X423" s="316"/>
      <c r="Y423" s="177"/>
      <c r="Z423" s="316"/>
      <c r="AA423" s="178"/>
      <c r="AB423" s="316"/>
      <c r="AC423" s="155"/>
      <c r="AD423" s="155"/>
      <c r="AE423" s="156"/>
      <c r="AF423" s="157"/>
      <c r="AG423" s="127"/>
    </row>
    <row r="424" spans="1:33" ht="33" x14ac:dyDescent="0.3">
      <c r="B424" s="316"/>
      <c r="C424" s="316"/>
      <c r="E424" s="143">
        <v>1</v>
      </c>
      <c r="F424" s="228" t="s">
        <v>131</v>
      </c>
      <c r="G424" s="228" t="s">
        <v>131</v>
      </c>
      <c r="H424" s="143">
        <v>12</v>
      </c>
      <c r="I424" s="136">
        <v>1</v>
      </c>
      <c r="J424" s="316" t="s">
        <v>388</v>
      </c>
      <c r="K424" s="158" t="s">
        <v>290</v>
      </c>
      <c r="L424" s="159" t="s">
        <v>291</v>
      </c>
      <c r="M424" s="514" t="s">
        <v>312</v>
      </c>
      <c r="N424" s="515"/>
      <c r="O424" s="316" t="s">
        <v>301</v>
      </c>
      <c r="P424" s="316" t="s">
        <v>301</v>
      </c>
      <c r="Q424" s="338">
        <v>14612982000</v>
      </c>
      <c r="R424" s="316" t="s">
        <v>301</v>
      </c>
      <c r="S424" s="334">
        <f>Q424+(Q424*10%)-7998800</f>
        <v>16066281400</v>
      </c>
      <c r="T424" s="316" t="s">
        <v>301</v>
      </c>
      <c r="U424" s="334">
        <f>S424+(S424*10%)-8397100</f>
        <v>17664512440</v>
      </c>
      <c r="V424" s="316" t="s">
        <v>301</v>
      </c>
      <c r="W424" s="334">
        <f>U424+(U424*10%)-8817800</f>
        <v>19422145884</v>
      </c>
      <c r="X424" s="316" t="s">
        <v>301</v>
      </c>
      <c r="Y424" s="334">
        <f>W424+(W424*10%)+2289024189</f>
        <v>23653384661.400002</v>
      </c>
      <c r="Z424" s="316" t="s">
        <v>301</v>
      </c>
      <c r="AA424" s="178">
        <f>Y424+W424+U424+S424+Q424</f>
        <v>91419306385.399994</v>
      </c>
      <c r="AB424" s="316" t="s">
        <v>66</v>
      </c>
      <c r="AC424" s="155"/>
      <c r="AD424" s="155"/>
      <c r="AE424" s="156"/>
      <c r="AF424" s="157"/>
      <c r="AG424" s="316" t="s">
        <v>156</v>
      </c>
    </row>
    <row r="425" spans="1:33" ht="49.5" x14ac:dyDescent="0.3">
      <c r="B425" s="316"/>
      <c r="C425" s="316"/>
      <c r="E425" s="143"/>
      <c r="F425" s="228"/>
      <c r="G425" s="228"/>
      <c r="H425" s="143"/>
      <c r="I425" s="136"/>
      <c r="J425" s="316"/>
      <c r="K425" s="158" t="s">
        <v>293</v>
      </c>
      <c r="L425" s="159" t="s">
        <v>291</v>
      </c>
      <c r="M425" s="160" t="s">
        <v>299</v>
      </c>
      <c r="N425" s="315" t="s">
        <v>733</v>
      </c>
      <c r="O425" s="316" t="s">
        <v>734</v>
      </c>
      <c r="P425" s="316" t="s">
        <v>734</v>
      </c>
      <c r="Q425" s="338"/>
      <c r="R425" s="316" t="s">
        <v>734</v>
      </c>
      <c r="S425" s="338"/>
      <c r="T425" s="316" t="s">
        <v>734</v>
      </c>
      <c r="U425" s="177"/>
      <c r="V425" s="316" t="s">
        <v>734</v>
      </c>
      <c r="W425" s="177"/>
      <c r="X425" s="316" t="s">
        <v>734</v>
      </c>
      <c r="Y425" s="177"/>
      <c r="Z425" s="316" t="s">
        <v>734</v>
      </c>
      <c r="AA425" s="178"/>
      <c r="AB425" s="316"/>
      <c r="AC425" s="155"/>
      <c r="AD425" s="155"/>
      <c r="AE425" s="156"/>
      <c r="AF425" s="157"/>
      <c r="AG425" s="297"/>
    </row>
    <row r="426" spans="1:33" ht="33" x14ac:dyDescent="0.3">
      <c r="B426" s="316"/>
      <c r="C426" s="316"/>
      <c r="E426" s="143"/>
      <c r="F426" s="228"/>
      <c r="G426" s="228"/>
      <c r="H426" s="143"/>
      <c r="I426" s="136"/>
      <c r="J426" s="316"/>
      <c r="K426" s="158"/>
      <c r="L426" s="159"/>
      <c r="M426" s="160" t="s">
        <v>303</v>
      </c>
      <c r="N426" s="315" t="s">
        <v>735</v>
      </c>
      <c r="O426" s="316" t="s">
        <v>736</v>
      </c>
      <c r="P426" s="316" t="s">
        <v>736</v>
      </c>
      <c r="Q426" s="338"/>
      <c r="R426" s="316" t="s">
        <v>736</v>
      </c>
      <c r="S426" s="338"/>
      <c r="T426" s="316" t="s">
        <v>736</v>
      </c>
      <c r="U426" s="177"/>
      <c r="V426" s="316" t="s">
        <v>736</v>
      </c>
      <c r="W426" s="177"/>
      <c r="X426" s="316" t="s">
        <v>736</v>
      </c>
      <c r="Y426" s="177"/>
      <c r="Z426" s="316" t="s">
        <v>736</v>
      </c>
      <c r="AA426" s="178"/>
      <c r="AB426" s="316"/>
      <c r="AC426" s="155"/>
      <c r="AD426" s="155"/>
      <c r="AE426" s="156"/>
      <c r="AF426" s="157"/>
      <c r="AG426" s="297"/>
    </row>
    <row r="427" spans="1:33" ht="49.5" x14ac:dyDescent="0.3">
      <c r="B427" s="316"/>
      <c r="C427" s="316"/>
      <c r="E427" s="143"/>
      <c r="F427" s="228"/>
      <c r="G427" s="228"/>
      <c r="H427" s="143"/>
      <c r="I427" s="136"/>
      <c r="J427" s="316"/>
      <c r="K427" s="158"/>
      <c r="L427" s="159"/>
      <c r="M427" s="160" t="s">
        <v>318</v>
      </c>
      <c r="N427" s="315" t="s">
        <v>737</v>
      </c>
      <c r="O427" s="316" t="s">
        <v>738</v>
      </c>
      <c r="P427" s="316" t="s">
        <v>738</v>
      </c>
      <c r="Q427" s="338"/>
      <c r="R427" s="316" t="s">
        <v>738</v>
      </c>
      <c r="S427" s="338"/>
      <c r="T427" s="316" t="s">
        <v>738</v>
      </c>
      <c r="U427" s="177"/>
      <c r="V427" s="316" t="s">
        <v>738</v>
      </c>
      <c r="W427" s="177"/>
      <c r="X427" s="316" t="s">
        <v>738</v>
      </c>
      <c r="Y427" s="177"/>
      <c r="Z427" s="316" t="s">
        <v>738</v>
      </c>
      <c r="AA427" s="178"/>
      <c r="AB427" s="316"/>
      <c r="AC427" s="155"/>
      <c r="AD427" s="155"/>
      <c r="AE427" s="156"/>
      <c r="AF427" s="157"/>
      <c r="AG427" s="297"/>
    </row>
    <row r="428" spans="1:33" ht="66" x14ac:dyDescent="0.3">
      <c r="B428" s="316"/>
      <c r="C428" s="316"/>
      <c r="E428" s="143"/>
      <c r="F428" s="228"/>
      <c r="G428" s="228"/>
      <c r="H428" s="143"/>
      <c r="I428" s="136"/>
      <c r="J428" s="316"/>
      <c r="K428" s="158"/>
      <c r="L428" s="159"/>
      <c r="M428" s="160" t="s">
        <v>331</v>
      </c>
      <c r="N428" s="315" t="s">
        <v>739</v>
      </c>
      <c r="O428" s="316" t="s">
        <v>740</v>
      </c>
      <c r="P428" s="316" t="s">
        <v>740</v>
      </c>
      <c r="Q428" s="338"/>
      <c r="R428" s="316" t="s">
        <v>740</v>
      </c>
      <c r="S428" s="338"/>
      <c r="T428" s="316" t="s">
        <v>740</v>
      </c>
      <c r="U428" s="177"/>
      <c r="V428" s="316" t="s">
        <v>740</v>
      </c>
      <c r="W428" s="177"/>
      <c r="X428" s="316" t="s">
        <v>740</v>
      </c>
      <c r="Y428" s="177"/>
      <c r="Z428" s="316" t="s">
        <v>740</v>
      </c>
      <c r="AA428" s="178"/>
      <c r="AB428" s="316"/>
      <c r="AC428" s="155"/>
      <c r="AD428" s="155"/>
      <c r="AE428" s="156"/>
      <c r="AF428" s="157"/>
      <c r="AG428" s="297"/>
    </row>
    <row r="429" spans="1:33" ht="82.5" x14ac:dyDescent="0.3">
      <c r="B429" s="316"/>
      <c r="C429" s="316"/>
      <c r="E429" s="143"/>
      <c r="F429" s="228"/>
      <c r="G429" s="228"/>
      <c r="H429" s="143"/>
      <c r="I429" s="136"/>
      <c r="J429" s="316"/>
      <c r="K429" s="158"/>
      <c r="L429" s="159"/>
      <c r="M429" s="160" t="s">
        <v>353</v>
      </c>
      <c r="N429" s="315" t="s">
        <v>590</v>
      </c>
      <c r="O429" s="316" t="s">
        <v>741</v>
      </c>
      <c r="P429" s="316" t="s">
        <v>741</v>
      </c>
      <c r="Q429" s="338"/>
      <c r="R429" s="316" t="s">
        <v>741</v>
      </c>
      <c r="S429" s="338"/>
      <c r="T429" s="316" t="s">
        <v>741</v>
      </c>
      <c r="U429" s="177"/>
      <c r="V429" s="316" t="s">
        <v>741</v>
      </c>
      <c r="W429" s="177"/>
      <c r="X429" s="316" t="s">
        <v>741</v>
      </c>
      <c r="Y429" s="177"/>
      <c r="Z429" s="316" t="s">
        <v>741</v>
      </c>
      <c r="AA429" s="178"/>
      <c r="AB429" s="316"/>
      <c r="AC429" s="155"/>
      <c r="AD429" s="155"/>
      <c r="AE429" s="156"/>
      <c r="AF429" s="157"/>
      <c r="AG429" s="297"/>
    </row>
    <row r="430" spans="1:33" ht="49.5" x14ac:dyDescent="0.3">
      <c r="B430" s="316"/>
      <c r="C430" s="316"/>
      <c r="E430" s="143"/>
      <c r="F430" s="228"/>
      <c r="G430" s="228"/>
      <c r="H430" s="143"/>
      <c r="I430" s="136"/>
      <c r="J430" s="316"/>
      <c r="K430" s="158"/>
      <c r="L430" s="159"/>
      <c r="M430" s="160" t="s">
        <v>352</v>
      </c>
      <c r="N430" s="315" t="s">
        <v>742</v>
      </c>
      <c r="O430" s="316" t="s">
        <v>743</v>
      </c>
      <c r="P430" s="316" t="s">
        <v>743</v>
      </c>
      <c r="Q430" s="338"/>
      <c r="R430" s="316" t="s">
        <v>743</v>
      </c>
      <c r="S430" s="338"/>
      <c r="T430" s="316" t="s">
        <v>743</v>
      </c>
      <c r="U430" s="177"/>
      <c r="V430" s="316" t="s">
        <v>743</v>
      </c>
      <c r="W430" s="177"/>
      <c r="X430" s="316" t="s">
        <v>743</v>
      </c>
      <c r="Y430" s="177"/>
      <c r="Z430" s="316" t="s">
        <v>743</v>
      </c>
      <c r="AA430" s="178"/>
      <c r="AB430" s="316"/>
      <c r="AC430" s="155"/>
      <c r="AD430" s="155"/>
      <c r="AE430" s="156"/>
      <c r="AF430" s="157"/>
      <c r="AG430" s="297"/>
    </row>
    <row r="431" spans="1:33" ht="49.5" x14ac:dyDescent="0.3">
      <c r="B431" s="316"/>
      <c r="C431" s="316"/>
      <c r="E431" s="143"/>
      <c r="F431" s="228"/>
      <c r="G431" s="228"/>
      <c r="H431" s="143"/>
      <c r="I431" s="136"/>
      <c r="J431" s="316"/>
      <c r="K431" s="137"/>
      <c r="L431" s="314"/>
      <c r="M431" s="226" t="s">
        <v>402</v>
      </c>
      <c r="N431" s="315" t="s">
        <v>592</v>
      </c>
      <c r="O431" s="316" t="s">
        <v>744</v>
      </c>
      <c r="P431" s="316" t="s">
        <v>744</v>
      </c>
      <c r="Q431" s="338"/>
      <c r="R431" s="316" t="s">
        <v>744</v>
      </c>
      <c r="S431" s="338"/>
      <c r="T431" s="316" t="s">
        <v>744</v>
      </c>
      <c r="U431" s="177"/>
      <c r="V431" s="316" t="s">
        <v>744</v>
      </c>
      <c r="W431" s="177"/>
      <c r="X431" s="316" t="s">
        <v>744</v>
      </c>
      <c r="Y431" s="177"/>
      <c r="Z431" s="316" t="s">
        <v>744</v>
      </c>
      <c r="AA431" s="178"/>
      <c r="AB431" s="316"/>
      <c r="AC431" s="155"/>
      <c r="AD431" s="155"/>
      <c r="AE431" s="156"/>
      <c r="AF431" s="157"/>
      <c r="AG431" s="297"/>
    </row>
    <row r="432" spans="1:33" ht="49.5" x14ac:dyDescent="0.3">
      <c r="B432" s="316"/>
      <c r="C432" s="316"/>
      <c r="E432" s="143"/>
      <c r="F432" s="228"/>
      <c r="G432" s="228"/>
      <c r="H432" s="143"/>
      <c r="I432" s="136"/>
      <c r="J432" s="316"/>
      <c r="K432" s="137"/>
      <c r="L432" s="314"/>
      <c r="M432" s="226" t="s">
        <v>453</v>
      </c>
      <c r="N432" s="315" t="s">
        <v>745</v>
      </c>
      <c r="O432" s="316" t="s">
        <v>744</v>
      </c>
      <c r="P432" s="316" t="s">
        <v>744</v>
      </c>
      <c r="Q432" s="338"/>
      <c r="R432" s="316" t="s">
        <v>744</v>
      </c>
      <c r="S432" s="338"/>
      <c r="T432" s="316" t="s">
        <v>744</v>
      </c>
      <c r="U432" s="177"/>
      <c r="V432" s="316" t="s">
        <v>744</v>
      </c>
      <c r="W432" s="177"/>
      <c r="X432" s="316" t="s">
        <v>744</v>
      </c>
      <c r="Y432" s="177"/>
      <c r="Z432" s="316" t="s">
        <v>744</v>
      </c>
      <c r="AA432" s="178"/>
      <c r="AB432" s="316"/>
      <c r="AC432" s="155"/>
      <c r="AD432" s="155"/>
      <c r="AE432" s="156"/>
      <c r="AF432" s="157"/>
      <c r="AG432" s="297"/>
    </row>
    <row r="433" spans="1:33" ht="33" x14ac:dyDescent="0.3">
      <c r="B433" s="316"/>
      <c r="C433" s="316"/>
      <c r="E433" s="143"/>
      <c r="F433" s="228"/>
      <c r="G433" s="228"/>
      <c r="H433" s="143"/>
      <c r="I433" s="136"/>
      <c r="J433" s="316"/>
      <c r="K433" s="137"/>
      <c r="L433" s="314"/>
      <c r="M433" s="226" t="s">
        <v>454</v>
      </c>
      <c r="N433" s="315" t="s">
        <v>746</v>
      </c>
      <c r="O433" s="316" t="s">
        <v>747</v>
      </c>
      <c r="P433" s="316" t="s">
        <v>747</v>
      </c>
      <c r="Q433" s="338"/>
      <c r="R433" s="316" t="s">
        <v>747</v>
      </c>
      <c r="S433" s="338"/>
      <c r="T433" s="316" t="s">
        <v>747</v>
      </c>
      <c r="U433" s="177"/>
      <c r="V433" s="316" t="s">
        <v>747</v>
      </c>
      <c r="W433" s="177"/>
      <c r="X433" s="316" t="s">
        <v>747</v>
      </c>
      <c r="Y433" s="177"/>
      <c r="Z433" s="316" t="s">
        <v>747</v>
      </c>
      <c r="AA433" s="178"/>
      <c r="AB433" s="316"/>
      <c r="AC433" s="155"/>
      <c r="AD433" s="155"/>
      <c r="AE433" s="156"/>
      <c r="AF433" s="157"/>
      <c r="AG433" s="297"/>
    </row>
    <row r="434" spans="1:33" ht="33" x14ac:dyDescent="0.3">
      <c r="B434" s="316"/>
      <c r="C434" s="316"/>
      <c r="E434" s="143"/>
      <c r="F434" s="228"/>
      <c r="G434" s="228"/>
      <c r="H434" s="143"/>
      <c r="I434" s="136"/>
      <c r="J434" s="316"/>
      <c r="K434" s="137"/>
      <c r="L434" s="314"/>
      <c r="M434" s="226" t="s">
        <v>521</v>
      </c>
      <c r="N434" s="315" t="s">
        <v>748</v>
      </c>
      <c r="O434" s="316" t="s">
        <v>749</v>
      </c>
      <c r="P434" s="316" t="s">
        <v>749</v>
      </c>
      <c r="Q434" s="338"/>
      <c r="R434" s="316" t="s">
        <v>749</v>
      </c>
      <c r="S434" s="338"/>
      <c r="T434" s="316" t="s">
        <v>749</v>
      </c>
      <c r="U434" s="177"/>
      <c r="V434" s="316" t="s">
        <v>749</v>
      </c>
      <c r="W434" s="177"/>
      <c r="X434" s="316" t="s">
        <v>749</v>
      </c>
      <c r="Y434" s="177"/>
      <c r="Z434" s="316" t="s">
        <v>749</v>
      </c>
      <c r="AA434" s="178"/>
      <c r="AB434" s="316"/>
      <c r="AC434" s="155"/>
      <c r="AD434" s="155"/>
      <c r="AE434" s="156"/>
      <c r="AF434" s="157"/>
      <c r="AG434" s="297"/>
    </row>
    <row r="435" spans="1:33" ht="49.5" x14ac:dyDescent="0.3">
      <c r="B435" s="316"/>
      <c r="C435" s="316"/>
      <c r="E435" s="143"/>
      <c r="F435" s="228"/>
      <c r="G435" s="228"/>
      <c r="H435" s="143"/>
      <c r="I435" s="136"/>
      <c r="J435" s="316"/>
      <c r="K435" s="137"/>
      <c r="L435" s="314"/>
      <c r="M435" s="226" t="s">
        <v>522</v>
      </c>
      <c r="N435" s="315" t="s">
        <v>750</v>
      </c>
      <c r="O435" s="316" t="s">
        <v>751</v>
      </c>
      <c r="P435" s="316" t="s">
        <v>751</v>
      </c>
      <c r="Q435" s="338"/>
      <c r="R435" s="316" t="s">
        <v>751</v>
      </c>
      <c r="S435" s="338"/>
      <c r="T435" s="316" t="s">
        <v>751</v>
      </c>
      <c r="U435" s="177"/>
      <c r="V435" s="316" t="s">
        <v>751</v>
      </c>
      <c r="W435" s="177"/>
      <c r="X435" s="316" t="s">
        <v>751</v>
      </c>
      <c r="Y435" s="177"/>
      <c r="Z435" s="316" t="s">
        <v>751</v>
      </c>
      <c r="AA435" s="178"/>
      <c r="AB435" s="316"/>
      <c r="AC435" s="155"/>
      <c r="AD435" s="155"/>
      <c r="AE435" s="156"/>
      <c r="AF435" s="157"/>
      <c r="AG435" s="297"/>
    </row>
    <row r="436" spans="1:33" ht="66" x14ac:dyDescent="0.3">
      <c r="B436" s="316"/>
      <c r="C436" s="316"/>
      <c r="E436" s="143"/>
      <c r="F436" s="228"/>
      <c r="G436" s="228"/>
      <c r="H436" s="143"/>
      <c r="I436" s="136"/>
      <c r="J436" s="316"/>
      <c r="K436" s="137"/>
      <c r="L436" s="314"/>
      <c r="M436" s="226" t="s">
        <v>523</v>
      </c>
      <c r="N436" s="315" t="s">
        <v>752</v>
      </c>
      <c r="O436" s="316" t="s">
        <v>753</v>
      </c>
      <c r="P436" s="316" t="s">
        <v>753</v>
      </c>
      <c r="Q436" s="338"/>
      <c r="R436" s="316" t="s">
        <v>753</v>
      </c>
      <c r="S436" s="338"/>
      <c r="T436" s="316" t="s">
        <v>753</v>
      </c>
      <c r="U436" s="177"/>
      <c r="V436" s="316" t="s">
        <v>753</v>
      </c>
      <c r="W436" s="177"/>
      <c r="X436" s="316" t="s">
        <v>753</v>
      </c>
      <c r="Y436" s="177"/>
      <c r="Z436" s="316" t="s">
        <v>753</v>
      </c>
      <c r="AA436" s="178"/>
      <c r="AB436" s="316"/>
      <c r="AC436" s="155"/>
      <c r="AD436" s="155"/>
      <c r="AE436" s="156"/>
      <c r="AF436" s="157"/>
      <c r="AG436" s="297"/>
    </row>
    <row r="437" spans="1:33" ht="82.5" x14ac:dyDescent="0.3">
      <c r="B437" s="316"/>
      <c r="C437" s="316"/>
      <c r="E437" s="143"/>
      <c r="F437" s="228"/>
      <c r="G437" s="228"/>
      <c r="H437" s="143"/>
      <c r="I437" s="136"/>
      <c r="J437" s="316"/>
      <c r="K437" s="137"/>
      <c r="L437" s="314"/>
      <c r="M437" s="226" t="s">
        <v>524</v>
      </c>
      <c r="N437" s="315" t="s">
        <v>754</v>
      </c>
      <c r="O437" s="316" t="s">
        <v>755</v>
      </c>
      <c r="P437" s="316" t="s">
        <v>755</v>
      </c>
      <c r="Q437" s="338"/>
      <c r="R437" s="316" t="s">
        <v>755</v>
      </c>
      <c r="S437" s="338"/>
      <c r="T437" s="316" t="s">
        <v>755</v>
      </c>
      <c r="U437" s="177"/>
      <c r="V437" s="316" t="s">
        <v>755</v>
      </c>
      <c r="W437" s="177"/>
      <c r="X437" s="316" t="s">
        <v>755</v>
      </c>
      <c r="Y437" s="177"/>
      <c r="Z437" s="316" t="s">
        <v>755</v>
      </c>
      <c r="AA437" s="178"/>
      <c r="AB437" s="316"/>
      <c r="AC437" s="155"/>
      <c r="AD437" s="155"/>
      <c r="AE437" s="156"/>
      <c r="AF437" s="157"/>
      <c r="AG437" s="297"/>
    </row>
    <row r="438" spans="1:33" ht="67.5" x14ac:dyDescent="0.3">
      <c r="B438" s="316"/>
      <c r="C438" s="316"/>
      <c r="E438" s="143"/>
      <c r="F438" s="228"/>
      <c r="G438" s="228"/>
      <c r="H438" s="143"/>
      <c r="I438" s="136"/>
      <c r="J438" s="316"/>
      <c r="K438" s="158" t="s">
        <v>294</v>
      </c>
      <c r="L438" s="159" t="s">
        <v>291</v>
      </c>
      <c r="M438" s="226" t="s">
        <v>299</v>
      </c>
      <c r="N438" s="315" t="s">
        <v>1020</v>
      </c>
      <c r="O438" s="316" t="s">
        <v>734</v>
      </c>
      <c r="P438" s="316" t="s">
        <v>734</v>
      </c>
      <c r="Q438" s="338"/>
      <c r="R438" s="316" t="s">
        <v>734</v>
      </c>
      <c r="S438" s="338"/>
      <c r="T438" s="316" t="s">
        <v>734</v>
      </c>
      <c r="U438" s="177"/>
      <c r="V438" s="316" t="s">
        <v>734</v>
      </c>
      <c r="W438" s="177"/>
      <c r="X438" s="316" t="s">
        <v>734</v>
      </c>
      <c r="Y438" s="177"/>
      <c r="Z438" s="316" t="s">
        <v>734</v>
      </c>
      <c r="AA438" s="178"/>
      <c r="AB438" s="316"/>
      <c r="AC438" s="155"/>
      <c r="AD438" s="155"/>
      <c r="AE438" s="156"/>
      <c r="AF438" s="157"/>
      <c r="AG438" s="297"/>
    </row>
    <row r="439" spans="1:33" ht="49.5" x14ac:dyDescent="0.3">
      <c r="B439" s="316"/>
      <c r="C439" s="316"/>
      <c r="E439" s="143"/>
      <c r="F439" s="228"/>
      <c r="G439" s="228"/>
      <c r="H439" s="143"/>
      <c r="I439" s="136"/>
      <c r="J439" s="316"/>
      <c r="K439" s="158"/>
      <c r="L439" s="159"/>
      <c r="M439" s="226" t="s">
        <v>303</v>
      </c>
      <c r="N439" s="315" t="s">
        <v>756</v>
      </c>
      <c r="O439" s="316" t="s">
        <v>736</v>
      </c>
      <c r="P439" s="316" t="s">
        <v>736</v>
      </c>
      <c r="Q439" s="338"/>
      <c r="R439" s="316" t="s">
        <v>736</v>
      </c>
      <c r="S439" s="338"/>
      <c r="T439" s="316" t="s">
        <v>736</v>
      </c>
      <c r="U439" s="177"/>
      <c r="V439" s="316" t="s">
        <v>736</v>
      </c>
      <c r="W439" s="177"/>
      <c r="X439" s="316" t="s">
        <v>736</v>
      </c>
      <c r="Y439" s="177"/>
      <c r="Z439" s="316" t="s">
        <v>736</v>
      </c>
      <c r="AA439" s="178"/>
      <c r="AB439" s="316"/>
      <c r="AC439" s="155"/>
      <c r="AD439" s="155"/>
      <c r="AE439" s="156"/>
      <c r="AF439" s="157"/>
      <c r="AG439" s="297"/>
    </row>
    <row r="440" spans="1:33" ht="49.5" x14ac:dyDescent="0.3">
      <c r="B440" s="316"/>
      <c r="C440" s="316"/>
      <c r="E440" s="143"/>
      <c r="F440" s="228"/>
      <c r="G440" s="228"/>
      <c r="H440" s="143"/>
      <c r="I440" s="136"/>
      <c r="J440" s="316"/>
      <c r="K440" s="158"/>
      <c r="L440" s="159"/>
      <c r="M440" s="226" t="s">
        <v>318</v>
      </c>
      <c r="N440" s="315" t="s">
        <v>757</v>
      </c>
      <c r="O440" s="316" t="s">
        <v>738</v>
      </c>
      <c r="P440" s="316" t="s">
        <v>738</v>
      </c>
      <c r="Q440" s="338"/>
      <c r="R440" s="316" t="s">
        <v>738</v>
      </c>
      <c r="S440" s="338"/>
      <c r="T440" s="316" t="s">
        <v>738</v>
      </c>
      <c r="U440" s="177"/>
      <c r="V440" s="316" t="s">
        <v>738</v>
      </c>
      <c r="W440" s="177"/>
      <c r="X440" s="316" t="s">
        <v>738</v>
      </c>
      <c r="Y440" s="177"/>
      <c r="Z440" s="316" t="s">
        <v>738</v>
      </c>
      <c r="AA440" s="178"/>
      <c r="AB440" s="316"/>
      <c r="AC440" s="155"/>
      <c r="AD440" s="155"/>
      <c r="AE440" s="156"/>
      <c r="AF440" s="157"/>
      <c r="AG440" s="297"/>
    </row>
    <row r="441" spans="1:33" ht="82.5" x14ac:dyDescent="0.3">
      <c r="B441" s="316"/>
      <c r="C441" s="316"/>
      <c r="E441" s="143"/>
      <c r="F441" s="228"/>
      <c r="G441" s="228"/>
      <c r="H441" s="143"/>
      <c r="I441" s="136"/>
      <c r="J441" s="316"/>
      <c r="K441" s="158"/>
      <c r="L441" s="159"/>
      <c r="M441" s="226" t="s">
        <v>331</v>
      </c>
      <c r="N441" s="315" t="s">
        <v>607</v>
      </c>
      <c r="O441" s="316" t="s">
        <v>740</v>
      </c>
      <c r="P441" s="316" t="s">
        <v>740</v>
      </c>
      <c r="Q441" s="338"/>
      <c r="R441" s="316" t="s">
        <v>740</v>
      </c>
      <c r="S441" s="338"/>
      <c r="T441" s="316" t="s">
        <v>740</v>
      </c>
      <c r="U441" s="177"/>
      <c r="V441" s="316" t="s">
        <v>740</v>
      </c>
      <c r="W441" s="177"/>
      <c r="X441" s="316" t="s">
        <v>740</v>
      </c>
      <c r="Y441" s="177"/>
      <c r="Z441" s="316" t="s">
        <v>740</v>
      </c>
      <c r="AA441" s="178"/>
      <c r="AB441" s="316"/>
      <c r="AC441" s="155"/>
      <c r="AD441" s="155"/>
      <c r="AE441" s="156"/>
      <c r="AF441" s="157"/>
      <c r="AG441" s="297"/>
    </row>
    <row r="442" spans="1:33" ht="82.5" x14ac:dyDescent="0.3">
      <c r="B442" s="316"/>
      <c r="C442" s="316"/>
      <c r="E442" s="143"/>
      <c r="F442" s="228"/>
      <c r="G442" s="228"/>
      <c r="H442" s="143"/>
      <c r="I442" s="136"/>
      <c r="J442" s="316"/>
      <c r="K442" s="158"/>
      <c r="L442" s="159"/>
      <c r="M442" s="226" t="s">
        <v>353</v>
      </c>
      <c r="N442" s="315" t="s">
        <v>608</v>
      </c>
      <c r="O442" s="316" t="s">
        <v>741</v>
      </c>
      <c r="P442" s="316" t="s">
        <v>741</v>
      </c>
      <c r="Q442" s="338"/>
      <c r="R442" s="316" t="s">
        <v>741</v>
      </c>
      <c r="S442" s="338"/>
      <c r="T442" s="316" t="s">
        <v>741</v>
      </c>
      <c r="U442" s="177"/>
      <c r="V442" s="316" t="s">
        <v>741</v>
      </c>
      <c r="W442" s="177"/>
      <c r="X442" s="316" t="s">
        <v>741</v>
      </c>
      <c r="Y442" s="177"/>
      <c r="Z442" s="316" t="s">
        <v>741</v>
      </c>
      <c r="AA442" s="178"/>
      <c r="AB442" s="316"/>
      <c r="AC442" s="155"/>
      <c r="AD442" s="155"/>
      <c r="AE442" s="156"/>
      <c r="AF442" s="157"/>
      <c r="AG442" s="297"/>
    </row>
    <row r="443" spans="1:33" s="76" customFormat="1" ht="49.5" x14ac:dyDescent="0.3">
      <c r="A443" s="269"/>
      <c r="B443" s="316"/>
      <c r="C443" s="316"/>
      <c r="D443" s="269"/>
      <c r="E443" s="143"/>
      <c r="F443" s="228"/>
      <c r="G443" s="228"/>
      <c r="H443" s="143"/>
      <c r="I443" s="228"/>
      <c r="J443" s="316"/>
      <c r="K443" s="158"/>
      <c r="L443" s="159"/>
      <c r="M443" s="226" t="s">
        <v>352</v>
      </c>
      <c r="N443" s="315" t="s">
        <v>758</v>
      </c>
      <c r="O443" s="316" t="s">
        <v>743</v>
      </c>
      <c r="P443" s="316" t="s">
        <v>743</v>
      </c>
      <c r="Q443" s="338"/>
      <c r="R443" s="316" t="s">
        <v>743</v>
      </c>
      <c r="S443" s="338"/>
      <c r="T443" s="316" t="s">
        <v>743</v>
      </c>
      <c r="U443" s="177"/>
      <c r="V443" s="316" t="s">
        <v>743</v>
      </c>
      <c r="W443" s="177"/>
      <c r="X443" s="316" t="s">
        <v>743</v>
      </c>
      <c r="Y443" s="177"/>
      <c r="Z443" s="316" t="s">
        <v>743</v>
      </c>
      <c r="AA443" s="178"/>
      <c r="AB443" s="316"/>
      <c r="AC443" s="246"/>
      <c r="AD443" s="155"/>
      <c r="AE443" s="156"/>
      <c r="AF443" s="157"/>
      <c r="AG443" s="297"/>
    </row>
    <row r="444" spans="1:33" ht="33" x14ac:dyDescent="0.3">
      <c r="B444" s="316"/>
      <c r="C444" s="316"/>
      <c r="E444" s="143"/>
      <c r="F444" s="228"/>
      <c r="G444" s="228"/>
      <c r="H444" s="143"/>
      <c r="I444" s="228"/>
      <c r="J444" s="316"/>
      <c r="K444" s="158"/>
      <c r="L444" s="159"/>
      <c r="M444" s="226" t="s">
        <v>402</v>
      </c>
      <c r="N444" s="315" t="s">
        <v>609</v>
      </c>
      <c r="O444" s="316" t="s">
        <v>744</v>
      </c>
      <c r="P444" s="316" t="s">
        <v>744</v>
      </c>
      <c r="Q444" s="338"/>
      <c r="R444" s="316" t="s">
        <v>744</v>
      </c>
      <c r="S444" s="338"/>
      <c r="T444" s="316" t="s">
        <v>744</v>
      </c>
      <c r="U444" s="177"/>
      <c r="V444" s="316" t="s">
        <v>744</v>
      </c>
      <c r="W444" s="177"/>
      <c r="X444" s="316" t="s">
        <v>744</v>
      </c>
      <c r="Y444" s="177"/>
      <c r="Z444" s="316" t="s">
        <v>744</v>
      </c>
      <c r="AA444" s="178"/>
      <c r="AB444" s="316"/>
      <c r="AC444" s="155"/>
      <c r="AD444" s="155"/>
      <c r="AE444" s="156"/>
      <c r="AF444" s="157"/>
      <c r="AG444" s="297"/>
    </row>
    <row r="445" spans="1:33" ht="49.5" x14ac:dyDescent="0.3">
      <c r="B445" s="316"/>
      <c r="C445" s="316"/>
      <c r="E445" s="143"/>
      <c r="F445" s="228"/>
      <c r="G445" s="228"/>
      <c r="H445" s="143"/>
      <c r="I445" s="228"/>
      <c r="J445" s="316"/>
      <c r="K445" s="158"/>
      <c r="L445" s="159"/>
      <c r="M445" s="226" t="s">
        <v>453</v>
      </c>
      <c r="N445" s="315" t="s">
        <v>759</v>
      </c>
      <c r="O445" s="316" t="s">
        <v>744</v>
      </c>
      <c r="P445" s="316" t="s">
        <v>744</v>
      </c>
      <c r="Q445" s="338"/>
      <c r="R445" s="316" t="s">
        <v>744</v>
      </c>
      <c r="S445" s="338"/>
      <c r="T445" s="316" t="s">
        <v>744</v>
      </c>
      <c r="U445" s="177"/>
      <c r="V445" s="316" t="s">
        <v>744</v>
      </c>
      <c r="W445" s="177"/>
      <c r="X445" s="316" t="s">
        <v>744</v>
      </c>
      <c r="Y445" s="177"/>
      <c r="Z445" s="316" t="s">
        <v>744</v>
      </c>
      <c r="AA445" s="178"/>
      <c r="AB445" s="316"/>
      <c r="AC445" s="155"/>
      <c r="AD445" s="155"/>
      <c r="AE445" s="156"/>
      <c r="AF445" s="157"/>
      <c r="AG445" s="297"/>
    </row>
    <row r="446" spans="1:33" ht="33" x14ac:dyDescent="0.3">
      <c r="B446" s="316"/>
      <c r="C446" s="316"/>
      <c r="E446" s="143"/>
      <c r="F446" s="228"/>
      <c r="G446" s="228"/>
      <c r="H446" s="143"/>
      <c r="I446" s="228"/>
      <c r="J446" s="316"/>
      <c r="K446" s="158"/>
      <c r="L446" s="159"/>
      <c r="M446" s="226" t="s">
        <v>454</v>
      </c>
      <c r="N446" s="315" t="s">
        <v>760</v>
      </c>
      <c r="O446" s="316" t="s">
        <v>747</v>
      </c>
      <c r="P446" s="316" t="s">
        <v>747</v>
      </c>
      <c r="Q446" s="338"/>
      <c r="R446" s="316" t="s">
        <v>747</v>
      </c>
      <c r="S446" s="338"/>
      <c r="T446" s="316" t="s">
        <v>747</v>
      </c>
      <c r="U446" s="177"/>
      <c r="V446" s="316" t="s">
        <v>747</v>
      </c>
      <c r="W446" s="177"/>
      <c r="X446" s="316" t="s">
        <v>747</v>
      </c>
      <c r="Y446" s="177"/>
      <c r="Z446" s="316" t="s">
        <v>747</v>
      </c>
      <c r="AA446" s="178"/>
      <c r="AB446" s="316"/>
      <c r="AC446" s="155"/>
      <c r="AD446" s="155"/>
      <c r="AE446" s="156"/>
      <c r="AF446" s="157"/>
      <c r="AG446" s="297"/>
    </row>
    <row r="447" spans="1:33" ht="49.5" x14ac:dyDescent="0.3">
      <c r="B447" s="316"/>
      <c r="C447" s="316"/>
      <c r="E447" s="143"/>
      <c r="F447" s="143"/>
      <c r="G447" s="143"/>
      <c r="H447" s="143"/>
      <c r="I447" s="143"/>
      <c r="J447" s="316"/>
      <c r="K447" s="158"/>
      <c r="L447" s="159"/>
      <c r="M447" s="226" t="s">
        <v>521</v>
      </c>
      <c r="N447" s="315" t="s">
        <v>611</v>
      </c>
      <c r="O447" s="316" t="s">
        <v>749</v>
      </c>
      <c r="P447" s="316" t="s">
        <v>749</v>
      </c>
      <c r="Q447" s="338"/>
      <c r="R447" s="316" t="s">
        <v>749</v>
      </c>
      <c r="S447" s="338"/>
      <c r="T447" s="316" t="s">
        <v>749</v>
      </c>
      <c r="U447" s="177"/>
      <c r="V447" s="316" t="s">
        <v>749</v>
      </c>
      <c r="W447" s="177"/>
      <c r="X447" s="316" t="s">
        <v>749</v>
      </c>
      <c r="Y447" s="177"/>
      <c r="Z447" s="316" t="s">
        <v>749</v>
      </c>
      <c r="AA447" s="178"/>
      <c r="AB447" s="316"/>
      <c r="AC447" s="155"/>
      <c r="AD447" s="155"/>
      <c r="AE447" s="156"/>
      <c r="AF447" s="157"/>
      <c r="AG447" s="297"/>
    </row>
    <row r="448" spans="1:33" ht="49.5" x14ac:dyDescent="0.3">
      <c r="B448" s="316"/>
      <c r="C448" s="316"/>
      <c r="E448" s="143"/>
      <c r="F448" s="228"/>
      <c r="G448" s="228"/>
      <c r="H448" s="143"/>
      <c r="I448" s="136"/>
      <c r="J448" s="316"/>
      <c r="K448" s="158"/>
      <c r="L448" s="159"/>
      <c r="M448" s="226" t="s">
        <v>522</v>
      </c>
      <c r="N448" s="315" t="s">
        <v>761</v>
      </c>
      <c r="O448" s="316" t="s">
        <v>751</v>
      </c>
      <c r="P448" s="316" t="s">
        <v>751</v>
      </c>
      <c r="Q448" s="338"/>
      <c r="R448" s="316" t="s">
        <v>751</v>
      </c>
      <c r="S448" s="338"/>
      <c r="T448" s="316" t="s">
        <v>751</v>
      </c>
      <c r="U448" s="177"/>
      <c r="V448" s="316" t="s">
        <v>751</v>
      </c>
      <c r="W448" s="177"/>
      <c r="X448" s="316" t="s">
        <v>751</v>
      </c>
      <c r="Y448" s="177"/>
      <c r="Z448" s="316" t="s">
        <v>751</v>
      </c>
      <c r="AA448" s="178"/>
      <c r="AB448" s="316"/>
      <c r="AC448" s="155"/>
      <c r="AD448" s="155"/>
      <c r="AE448" s="156"/>
      <c r="AF448" s="157"/>
      <c r="AG448" s="297"/>
    </row>
    <row r="449" spans="1:33" ht="82.5" x14ac:dyDescent="0.3">
      <c r="B449" s="316"/>
      <c r="C449" s="316"/>
      <c r="E449" s="143"/>
      <c r="F449" s="143"/>
      <c r="G449" s="143"/>
      <c r="H449" s="143"/>
      <c r="I449" s="143"/>
      <c r="J449" s="316"/>
      <c r="K449" s="158"/>
      <c r="L449" s="159"/>
      <c r="M449" s="226" t="s">
        <v>523</v>
      </c>
      <c r="N449" s="315" t="s">
        <v>762</v>
      </c>
      <c r="O449" s="316" t="s">
        <v>753</v>
      </c>
      <c r="P449" s="316" t="s">
        <v>753</v>
      </c>
      <c r="Q449" s="338"/>
      <c r="R449" s="316" t="s">
        <v>753</v>
      </c>
      <c r="S449" s="338"/>
      <c r="T449" s="316" t="s">
        <v>753</v>
      </c>
      <c r="U449" s="177"/>
      <c r="V449" s="316" t="s">
        <v>753</v>
      </c>
      <c r="W449" s="177"/>
      <c r="X449" s="316" t="s">
        <v>753</v>
      </c>
      <c r="Y449" s="177"/>
      <c r="Z449" s="316" t="s">
        <v>753</v>
      </c>
      <c r="AA449" s="178"/>
      <c r="AB449" s="316"/>
      <c r="AC449" s="155"/>
      <c r="AD449" s="155"/>
      <c r="AE449" s="156"/>
      <c r="AF449" s="157"/>
      <c r="AG449" s="297"/>
    </row>
    <row r="450" spans="1:33" s="73" customFormat="1" ht="67.5" x14ac:dyDescent="0.3">
      <c r="A450" s="111"/>
      <c r="B450" s="316"/>
      <c r="C450" s="316"/>
      <c r="D450" s="111"/>
      <c r="E450" s="143"/>
      <c r="F450" s="228"/>
      <c r="G450" s="228"/>
      <c r="H450" s="143"/>
      <c r="I450" s="136"/>
      <c r="J450" s="316"/>
      <c r="K450" s="158"/>
      <c r="L450" s="159"/>
      <c r="M450" s="226" t="s">
        <v>524</v>
      </c>
      <c r="N450" s="315" t="s">
        <v>1021</v>
      </c>
      <c r="O450" s="316" t="s">
        <v>755</v>
      </c>
      <c r="P450" s="316" t="s">
        <v>755</v>
      </c>
      <c r="Q450" s="338"/>
      <c r="R450" s="316" t="s">
        <v>755</v>
      </c>
      <c r="S450" s="338"/>
      <c r="T450" s="316" t="s">
        <v>755</v>
      </c>
      <c r="U450" s="177"/>
      <c r="V450" s="316" t="s">
        <v>755</v>
      </c>
      <c r="W450" s="177"/>
      <c r="X450" s="316" t="s">
        <v>755</v>
      </c>
      <c r="Y450" s="177"/>
      <c r="Z450" s="316" t="s">
        <v>755</v>
      </c>
      <c r="AA450" s="178"/>
      <c r="AB450" s="316"/>
      <c r="AC450" s="155"/>
      <c r="AD450" s="155"/>
      <c r="AE450" s="156"/>
      <c r="AF450" s="157"/>
      <c r="AG450" s="302"/>
    </row>
    <row r="451" spans="1:33" s="73" customFormat="1" ht="33" x14ac:dyDescent="0.3">
      <c r="A451" s="111"/>
      <c r="B451" s="316"/>
      <c r="C451" s="316"/>
      <c r="D451" s="111"/>
      <c r="E451" s="143"/>
      <c r="F451" s="228"/>
      <c r="G451" s="228"/>
      <c r="H451" s="143"/>
      <c r="I451" s="228"/>
      <c r="J451" s="316"/>
      <c r="K451" s="137" t="s">
        <v>295</v>
      </c>
      <c r="L451" s="314" t="s">
        <v>291</v>
      </c>
      <c r="M451" s="519" t="s">
        <v>689</v>
      </c>
      <c r="N451" s="520"/>
      <c r="O451" s="137"/>
      <c r="P451" s="137"/>
      <c r="Q451" s="338"/>
      <c r="R451" s="137"/>
      <c r="S451" s="338"/>
      <c r="T451" s="137"/>
      <c r="U451" s="177"/>
      <c r="V451" s="137"/>
      <c r="W451" s="177"/>
      <c r="X451" s="137"/>
      <c r="Y451" s="177"/>
      <c r="Z451" s="137"/>
      <c r="AA451" s="178"/>
      <c r="AB451" s="316"/>
      <c r="AC451" s="155"/>
      <c r="AD451" s="155"/>
      <c r="AE451" s="156"/>
      <c r="AF451" s="157"/>
      <c r="AG451" s="302"/>
    </row>
    <row r="452" spans="1:33" s="73" customFormat="1" ht="33" x14ac:dyDescent="0.3">
      <c r="A452" s="111"/>
      <c r="B452" s="179"/>
      <c r="C452" s="179"/>
      <c r="D452" s="303"/>
      <c r="E452" s="180"/>
      <c r="F452" s="238"/>
      <c r="G452" s="238"/>
      <c r="H452" s="180"/>
      <c r="I452" s="238"/>
      <c r="J452" s="179"/>
      <c r="K452" s="183" t="s">
        <v>297</v>
      </c>
      <c r="L452" s="182" t="s">
        <v>291</v>
      </c>
      <c r="M452" s="198" t="s">
        <v>501</v>
      </c>
      <c r="N452" s="227"/>
      <c r="O452" s="183"/>
      <c r="P452" s="183"/>
      <c r="Q452" s="339"/>
      <c r="R452" s="183"/>
      <c r="S452" s="339"/>
      <c r="T452" s="183"/>
      <c r="U452" s="347"/>
      <c r="V452" s="183"/>
      <c r="W452" s="347"/>
      <c r="X452" s="183"/>
      <c r="Y452" s="347"/>
      <c r="Z452" s="183"/>
      <c r="AA452" s="350"/>
      <c r="AB452" s="179"/>
      <c r="AC452" s="187"/>
      <c r="AD452" s="187"/>
      <c r="AE452" s="188"/>
      <c r="AF452" s="189"/>
      <c r="AG452" s="304"/>
    </row>
    <row r="453" spans="1:33" x14ac:dyDescent="0.3">
      <c r="B453" s="316"/>
      <c r="C453" s="316"/>
      <c r="E453" s="143"/>
      <c r="F453" s="143"/>
      <c r="G453" s="143"/>
      <c r="H453" s="143"/>
      <c r="I453" s="143"/>
      <c r="J453" s="316"/>
      <c r="K453" s="158"/>
      <c r="L453" s="159"/>
      <c r="M453" s="159"/>
      <c r="N453" s="315"/>
      <c r="O453" s="316"/>
      <c r="P453" s="316"/>
      <c r="Q453" s="338"/>
      <c r="R453" s="316"/>
      <c r="S453" s="338"/>
      <c r="T453" s="316"/>
      <c r="U453" s="177"/>
      <c r="V453" s="316"/>
      <c r="W453" s="177"/>
      <c r="X453" s="316"/>
      <c r="Y453" s="177"/>
      <c r="Z453" s="316"/>
      <c r="AA453" s="178"/>
      <c r="AB453" s="316"/>
      <c r="AC453" s="155"/>
      <c r="AD453" s="155"/>
      <c r="AE453" s="156"/>
      <c r="AF453" s="157"/>
      <c r="AG453" s="297"/>
    </row>
    <row r="454" spans="1:33" ht="33" x14ac:dyDescent="0.3">
      <c r="B454" s="316"/>
      <c r="C454" s="316"/>
      <c r="E454" s="143">
        <v>1</v>
      </c>
      <c r="F454" s="228" t="s">
        <v>131</v>
      </c>
      <c r="G454" s="228" t="s">
        <v>131</v>
      </c>
      <c r="H454" s="143">
        <v>12</v>
      </c>
      <c r="I454" s="136">
        <v>2</v>
      </c>
      <c r="J454" s="316" t="s">
        <v>389</v>
      </c>
      <c r="K454" s="158" t="s">
        <v>290</v>
      </c>
      <c r="L454" s="159" t="s">
        <v>291</v>
      </c>
      <c r="M454" s="514" t="s">
        <v>312</v>
      </c>
      <c r="N454" s="515"/>
      <c r="O454" s="316" t="s">
        <v>301</v>
      </c>
      <c r="P454" s="316" t="s">
        <v>301</v>
      </c>
      <c r="Q454" s="338">
        <v>419862000</v>
      </c>
      <c r="R454" s="316" t="s">
        <v>301</v>
      </c>
      <c r="S454" s="334">
        <f>Q454+(Q454*10%)-200</f>
        <v>461848000</v>
      </c>
      <c r="T454" s="316" t="s">
        <v>301</v>
      </c>
      <c r="U454" s="334">
        <f>S454+(S454*10%)-800</f>
        <v>508032000</v>
      </c>
      <c r="V454" s="316" t="s">
        <v>301</v>
      </c>
      <c r="W454" s="334">
        <f>U454+(U454*10%)-200</f>
        <v>558835000</v>
      </c>
      <c r="X454" s="316" t="s">
        <v>301</v>
      </c>
      <c r="Y454" s="334">
        <f>W454+(W454*10%)-500</f>
        <v>614718000</v>
      </c>
      <c r="Z454" s="316" t="s">
        <v>301</v>
      </c>
      <c r="AA454" s="178">
        <f>Y454+W454+U454+S454+Q454</f>
        <v>2563295000</v>
      </c>
      <c r="AB454" s="316" t="s">
        <v>66</v>
      </c>
      <c r="AC454" s="155"/>
      <c r="AD454" s="155"/>
      <c r="AE454" s="156"/>
      <c r="AF454" s="157"/>
      <c r="AG454" s="316" t="s">
        <v>156</v>
      </c>
    </row>
    <row r="455" spans="1:33" ht="148.5" x14ac:dyDescent="0.3">
      <c r="B455" s="316"/>
      <c r="C455" s="316"/>
      <c r="E455" s="143"/>
      <c r="F455" s="228"/>
      <c r="G455" s="228"/>
      <c r="H455" s="143"/>
      <c r="I455" s="136"/>
      <c r="J455" s="316"/>
      <c r="K455" s="158" t="s">
        <v>293</v>
      </c>
      <c r="L455" s="159" t="s">
        <v>291</v>
      </c>
      <c r="M455" s="160" t="s">
        <v>299</v>
      </c>
      <c r="N455" s="205" t="s">
        <v>763</v>
      </c>
      <c r="O455" s="206" t="s">
        <v>615</v>
      </c>
      <c r="P455" s="206" t="s">
        <v>615</v>
      </c>
      <c r="Q455" s="338"/>
      <c r="R455" s="206" t="s">
        <v>615</v>
      </c>
      <c r="S455" s="338"/>
      <c r="T455" s="206" t="s">
        <v>615</v>
      </c>
      <c r="U455" s="177"/>
      <c r="V455" s="206" t="s">
        <v>615</v>
      </c>
      <c r="W455" s="177"/>
      <c r="X455" s="206" t="s">
        <v>615</v>
      </c>
      <c r="Y455" s="177"/>
      <c r="Z455" s="206" t="s">
        <v>615</v>
      </c>
      <c r="AA455" s="178"/>
      <c r="AB455" s="316"/>
      <c r="AC455" s="155"/>
      <c r="AD455" s="155"/>
      <c r="AE455" s="156"/>
      <c r="AF455" s="157"/>
      <c r="AG455" s="297"/>
    </row>
    <row r="456" spans="1:33" ht="148.5" x14ac:dyDescent="0.3">
      <c r="B456" s="316"/>
      <c r="C456" s="316"/>
      <c r="E456" s="143"/>
      <c r="F456" s="228"/>
      <c r="G456" s="228"/>
      <c r="H456" s="143"/>
      <c r="I456" s="136"/>
      <c r="J456" s="316"/>
      <c r="K456" s="158"/>
      <c r="L456" s="159"/>
      <c r="M456" s="160" t="s">
        <v>303</v>
      </c>
      <c r="N456" s="205" t="s">
        <v>764</v>
      </c>
      <c r="O456" s="206" t="s">
        <v>617</v>
      </c>
      <c r="P456" s="206" t="s">
        <v>617</v>
      </c>
      <c r="Q456" s="338"/>
      <c r="R456" s="206" t="s">
        <v>617</v>
      </c>
      <c r="S456" s="338"/>
      <c r="T456" s="206" t="s">
        <v>617</v>
      </c>
      <c r="U456" s="177"/>
      <c r="V456" s="206" t="s">
        <v>617</v>
      </c>
      <c r="W456" s="177"/>
      <c r="X456" s="206" t="s">
        <v>617</v>
      </c>
      <c r="Y456" s="177"/>
      <c r="Z456" s="206" t="s">
        <v>617</v>
      </c>
      <c r="AA456" s="178"/>
      <c r="AB456" s="316"/>
      <c r="AC456" s="155"/>
      <c r="AD456" s="155"/>
      <c r="AE456" s="156"/>
      <c r="AF456" s="157"/>
      <c r="AG456" s="297"/>
    </row>
    <row r="457" spans="1:33" ht="49.5" x14ac:dyDescent="0.3">
      <c r="B457" s="316"/>
      <c r="C457" s="316"/>
      <c r="E457" s="143"/>
      <c r="F457" s="228"/>
      <c r="G457" s="228"/>
      <c r="H457" s="143"/>
      <c r="I457" s="136"/>
      <c r="J457" s="316"/>
      <c r="K457" s="158"/>
      <c r="L457" s="159"/>
      <c r="M457" s="160" t="s">
        <v>318</v>
      </c>
      <c r="N457" s="205" t="s">
        <v>765</v>
      </c>
      <c r="O457" s="206" t="s">
        <v>619</v>
      </c>
      <c r="P457" s="206" t="s">
        <v>619</v>
      </c>
      <c r="Q457" s="338"/>
      <c r="R457" s="206" t="s">
        <v>619</v>
      </c>
      <c r="S457" s="338"/>
      <c r="T457" s="206" t="s">
        <v>619</v>
      </c>
      <c r="U457" s="177"/>
      <c r="V457" s="206" t="s">
        <v>619</v>
      </c>
      <c r="W457" s="177"/>
      <c r="X457" s="206" t="s">
        <v>619</v>
      </c>
      <c r="Y457" s="177"/>
      <c r="Z457" s="206" t="s">
        <v>619</v>
      </c>
      <c r="AA457" s="178"/>
      <c r="AB457" s="316"/>
      <c r="AC457" s="155"/>
      <c r="AD457" s="155"/>
      <c r="AE457" s="156"/>
      <c r="AF457" s="157"/>
      <c r="AG457" s="297"/>
    </row>
    <row r="458" spans="1:33" ht="66" x14ac:dyDescent="0.3">
      <c r="B458" s="316"/>
      <c r="C458" s="316"/>
      <c r="E458" s="143"/>
      <c r="F458" s="228"/>
      <c r="G458" s="228"/>
      <c r="H458" s="143"/>
      <c r="I458" s="136"/>
      <c r="J458" s="316"/>
      <c r="K458" s="158"/>
      <c r="L458" s="159"/>
      <c r="M458" s="160" t="s">
        <v>331</v>
      </c>
      <c r="N458" s="205" t="s">
        <v>766</v>
      </c>
      <c r="O458" s="206" t="s">
        <v>621</v>
      </c>
      <c r="P458" s="206" t="s">
        <v>621</v>
      </c>
      <c r="Q458" s="338"/>
      <c r="R458" s="206" t="s">
        <v>621</v>
      </c>
      <c r="S458" s="338"/>
      <c r="T458" s="206" t="s">
        <v>621</v>
      </c>
      <c r="U458" s="177"/>
      <c r="V458" s="206" t="s">
        <v>621</v>
      </c>
      <c r="W458" s="177"/>
      <c r="X458" s="206" t="s">
        <v>621</v>
      </c>
      <c r="Y458" s="177"/>
      <c r="Z458" s="206" t="s">
        <v>621</v>
      </c>
      <c r="AA458" s="178"/>
      <c r="AB458" s="316"/>
      <c r="AC458" s="155"/>
      <c r="AD458" s="155"/>
      <c r="AE458" s="156"/>
      <c r="AF458" s="157"/>
      <c r="AG458" s="297"/>
    </row>
    <row r="459" spans="1:33" ht="82.5" x14ac:dyDescent="0.3">
      <c r="B459" s="316"/>
      <c r="C459" s="316"/>
      <c r="E459" s="143"/>
      <c r="F459" s="228"/>
      <c r="G459" s="228"/>
      <c r="H459" s="143"/>
      <c r="I459" s="136"/>
      <c r="J459" s="316"/>
      <c r="K459" s="158"/>
      <c r="L459" s="159"/>
      <c r="M459" s="160" t="s">
        <v>353</v>
      </c>
      <c r="N459" s="205" t="s">
        <v>767</v>
      </c>
      <c r="O459" s="206" t="s">
        <v>625</v>
      </c>
      <c r="P459" s="206" t="s">
        <v>625</v>
      </c>
      <c r="Q459" s="338"/>
      <c r="R459" s="206" t="s">
        <v>625</v>
      </c>
      <c r="S459" s="338"/>
      <c r="T459" s="206" t="s">
        <v>625</v>
      </c>
      <c r="U459" s="177"/>
      <c r="V459" s="206" t="s">
        <v>625</v>
      </c>
      <c r="W459" s="177"/>
      <c r="X459" s="206" t="s">
        <v>625</v>
      </c>
      <c r="Y459" s="177"/>
      <c r="Z459" s="206" t="s">
        <v>625</v>
      </c>
      <c r="AA459" s="178"/>
      <c r="AB459" s="316"/>
      <c r="AC459" s="155"/>
      <c r="AD459" s="155"/>
      <c r="AE459" s="156"/>
      <c r="AF459" s="157"/>
      <c r="AG459" s="297"/>
    </row>
    <row r="460" spans="1:33" ht="99" x14ac:dyDescent="0.3">
      <c r="B460" s="316"/>
      <c r="C460" s="316"/>
      <c r="E460" s="143"/>
      <c r="F460" s="228"/>
      <c r="G460" s="228"/>
      <c r="H460" s="143"/>
      <c r="I460" s="136"/>
      <c r="J460" s="316"/>
      <c r="K460" s="158"/>
      <c r="L460" s="159"/>
      <c r="M460" s="160" t="s">
        <v>352</v>
      </c>
      <c r="N460" s="205" t="s">
        <v>768</v>
      </c>
      <c r="O460" s="206" t="s">
        <v>627</v>
      </c>
      <c r="P460" s="206" t="s">
        <v>627</v>
      </c>
      <c r="Q460" s="338"/>
      <c r="R460" s="206" t="s">
        <v>627</v>
      </c>
      <c r="S460" s="338"/>
      <c r="T460" s="206" t="s">
        <v>627</v>
      </c>
      <c r="U460" s="177"/>
      <c r="V460" s="206" t="s">
        <v>627</v>
      </c>
      <c r="W460" s="177"/>
      <c r="X460" s="206" t="s">
        <v>627</v>
      </c>
      <c r="Y460" s="177"/>
      <c r="Z460" s="206" t="s">
        <v>627</v>
      </c>
      <c r="AA460" s="178"/>
      <c r="AB460" s="316"/>
      <c r="AC460" s="155"/>
      <c r="AD460" s="155"/>
      <c r="AE460" s="156"/>
      <c r="AF460" s="157"/>
      <c r="AG460" s="297"/>
    </row>
    <row r="461" spans="1:33" ht="33" x14ac:dyDescent="0.3">
      <c r="B461" s="316"/>
      <c r="C461" s="316"/>
      <c r="E461" s="143"/>
      <c r="F461" s="228"/>
      <c r="G461" s="228"/>
      <c r="H461" s="143"/>
      <c r="I461" s="136"/>
      <c r="J461" s="316"/>
      <c r="K461" s="137"/>
      <c r="L461" s="314"/>
      <c r="M461" s="226" t="s">
        <v>402</v>
      </c>
      <c r="N461" s="205" t="s">
        <v>630</v>
      </c>
      <c r="O461" s="206" t="s">
        <v>631</v>
      </c>
      <c r="P461" s="206" t="s">
        <v>631</v>
      </c>
      <c r="Q461" s="338"/>
      <c r="R461" s="206" t="s">
        <v>631</v>
      </c>
      <c r="S461" s="338"/>
      <c r="T461" s="206" t="s">
        <v>631</v>
      </c>
      <c r="U461" s="177"/>
      <c r="V461" s="206" t="s">
        <v>631</v>
      </c>
      <c r="W461" s="177"/>
      <c r="X461" s="206" t="s">
        <v>631</v>
      </c>
      <c r="Y461" s="177"/>
      <c r="Z461" s="206" t="s">
        <v>631</v>
      </c>
      <c r="AA461" s="178"/>
      <c r="AB461" s="316"/>
      <c r="AC461" s="155"/>
      <c r="AD461" s="155"/>
      <c r="AE461" s="156"/>
      <c r="AF461" s="157"/>
      <c r="AG461" s="297"/>
    </row>
    <row r="462" spans="1:33" ht="66" x14ac:dyDescent="0.3">
      <c r="B462" s="316"/>
      <c r="C462" s="316"/>
      <c r="E462" s="143"/>
      <c r="F462" s="228"/>
      <c r="G462" s="228"/>
      <c r="H462" s="143"/>
      <c r="I462" s="136"/>
      <c r="J462" s="316"/>
      <c r="K462" s="137"/>
      <c r="L462" s="314"/>
      <c r="M462" s="226" t="s">
        <v>453</v>
      </c>
      <c r="N462" s="205" t="s">
        <v>769</v>
      </c>
      <c r="O462" s="206" t="s">
        <v>633</v>
      </c>
      <c r="P462" s="206" t="s">
        <v>633</v>
      </c>
      <c r="Q462" s="338"/>
      <c r="R462" s="206" t="s">
        <v>633</v>
      </c>
      <c r="S462" s="338"/>
      <c r="T462" s="206" t="s">
        <v>633</v>
      </c>
      <c r="U462" s="177"/>
      <c r="V462" s="206" t="s">
        <v>633</v>
      </c>
      <c r="W462" s="177"/>
      <c r="X462" s="206" t="s">
        <v>633</v>
      </c>
      <c r="Y462" s="177"/>
      <c r="Z462" s="206" t="s">
        <v>633</v>
      </c>
      <c r="AA462" s="178"/>
      <c r="AB462" s="316"/>
      <c r="AC462" s="155"/>
      <c r="AD462" s="155"/>
      <c r="AE462" s="156"/>
      <c r="AF462" s="157"/>
      <c r="AG462" s="297"/>
    </row>
    <row r="463" spans="1:33" ht="82.5" x14ac:dyDescent="0.3">
      <c r="B463" s="316"/>
      <c r="C463" s="316"/>
      <c r="E463" s="143"/>
      <c r="F463" s="228"/>
      <c r="G463" s="228"/>
      <c r="H463" s="143"/>
      <c r="I463" s="136"/>
      <c r="J463" s="316"/>
      <c r="K463" s="137"/>
      <c r="L463" s="314"/>
      <c r="M463" s="226" t="s">
        <v>454</v>
      </c>
      <c r="N463" s="205" t="s">
        <v>770</v>
      </c>
      <c r="O463" s="206" t="s">
        <v>635</v>
      </c>
      <c r="P463" s="206" t="s">
        <v>635</v>
      </c>
      <c r="Q463" s="338"/>
      <c r="R463" s="206" t="s">
        <v>635</v>
      </c>
      <c r="S463" s="338"/>
      <c r="T463" s="206" t="s">
        <v>635</v>
      </c>
      <c r="U463" s="177"/>
      <c r="V463" s="206" t="s">
        <v>635</v>
      </c>
      <c r="W463" s="177"/>
      <c r="X463" s="206" t="s">
        <v>635</v>
      </c>
      <c r="Y463" s="177"/>
      <c r="Z463" s="206" t="s">
        <v>635</v>
      </c>
      <c r="AA463" s="178"/>
      <c r="AB463" s="316"/>
      <c r="AC463" s="155"/>
      <c r="AD463" s="155"/>
      <c r="AE463" s="156"/>
      <c r="AF463" s="157"/>
      <c r="AG463" s="297"/>
    </row>
    <row r="464" spans="1:33" ht="49.5" x14ac:dyDescent="0.3">
      <c r="B464" s="316"/>
      <c r="C464" s="316"/>
      <c r="E464" s="143"/>
      <c r="F464" s="228"/>
      <c r="G464" s="228"/>
      <c r="H464" s="143"/>
      <c r="I464" s="136"/>
      <c r="J464" s="316"/>
      <c r="K464" s="137"/>
      <c r="L464" s="314"/>
      <c r="M464" s="226" t="s">
        <v>521</v>
      </c>
      <c r="N464" s="205" t="s">
        <v>636</v>
      </c>
      <c r="O464" s="206" t="s">
        <v>771</v>
      </c>
      <c r="P464" s="206" t="s">
        <v>771</v>
      </c>
      <c r="Q464" s="338"/>
      <c r="R464" s="206" t="s">
        <v>771</v>
      </c>
      <c r="S464" s="338"/>
      <c r="T464" s="206" t="s">
        <v>771</v>
      </c>
      <c r="U464" s="177"/>
      <c r="V464" s="206" t="s">
        <v>771</v>
      </c>
      <c r="W464" s="177"/>
      <c r="X464" s="206" t="s">
        <v>771</v>
      </c>
      <c r="Y464" s="177"/>
      <c r="Z464" s="206" t="s">
        <v>771</v>
      </c>
      <c r="AA464" s="178"/>
      <c r="AB464" s="316"/>
      <c r="AC464" s="155"/>
      <c r="AD464" s="155"/>
      <c r="AE464" s="156"/>
      <c r="AF464" s="157"/>
      <c r="AG464" s="297"/>
    </row>
    <row r="465" spans="2:33" ht="264" x14ac:dyDescent="0.3">
      <c r="B465" s="316"/>
      <c r="C465" s="316"/>
      <c r="E465" s="143"/>
      <c r="F465" s="228"/>
      <c r="G465" s="228"/>
      <c r="H465" s="143"/>
      <c r="I465" s="136"/>
      <c r="J465" s="316"/>
      <c r="K465" s="137"/>
      <c r="L465" s="314"/>
      <c r="M465" s="226" t="s">
        <v>522</v>
      </c>
      <c r="N465" s="205" t="s">
        <v>772</v>
      </c>
      <c r="O465" s="206" t="s">
        <v>623</v>
      </c>
      <c r="P465" s="206" t="s">
        <v>623</v>
      </c>
      <c r="Q465" s="338"/>
      <c r="R465" s="206" t="s">
        <v>623</v>
      </c>
      <c r="S465" s="338"/>
      <c r="T465" s="206" t="s">
        <v>623</v>
      </c>
      <c r="U465" s="177"/>
      <c r="V465" s="206" t="s">
        <v>623</v>
      </c>
      <c r="W465" s="177"/>
      <c r="X465" s="206" t="s">
        <v>623</v>
      </c>
      <c r="Y465" s="177"/>
      <c r="Z465" s="206" t="s">
        <v>623</v>
      </c>
      <c r="AA465" s="178"/>
      <c r="AB465" s="316"/>
      <c r="AC465" s="155"/>
      <c r="AD465" s="155"/>
      <c r="AE465" s="156"/>
      <c r="AF465" s="157"/>
      <c r="AG465" s="297"/>
    </row>
    <row r="466" spans="2:33" ht="33" x14ac:dyDescent="0.3">
      <c r="B466" s="316"/>
      <c r="C466" s="316"/>
      <c r="E466" s="143"/>
      <c r="F466" s="228"/>
      <c r="G466" s="228"/>
      <c r="H466" s="143"/>
      <c r="I466" s="136"/>
      <c r="J466" s="316"/>
      <c r="K466" s="158" t="s">
        <v>294</v>
      </c>
      <c r="L466" s="159" t="s">
        <v>291</v>
      </c>
      <c r="M466" s="226" t="s">
        <v>299</v>
      </c>
      <c r="N466" s="315" t="s">
        <v>638</v>
      </c>
      <c r="O466" s="196" t="s">
        <v>573</v>
      </c>
      <c r="P466" s="196" t="s">
        <v>573</v>
      </c>
      <c r="Q466" s="338"/>
      <c r="R466" s="196" t="s">
        <v>573</v>
      </c>
      <c r="S466" s="338"/>
      <c r="T466" s="196" t="s">
        <v>573</v>
      </c>
      <c r="U466" s="177"/>
      <c r="V466" s="196" t="s">
        <v>573</v>
      </c>
      <c r="W466" s="177"/>
      <c r="X466" s="196" t="s">
        <v>573</v>
      </c>
      <c r="Y466" s="177"/>
      <c r="Z466" s="196" t="s">
        <v>573</v>
      </c>
      <c r="AA466" s="178"/>
      <c r="AB466" s="316"/>
      <c r="AC466" s="155"/>
      <c r="AD466" s="155"/>
      <c r="AE466" s="156"/>
      <c r="AF466" s="157"/>
      <c r="AG466" s="297"/>
    </row>
    <row r="467" spans="2:33" ht="33" x14ac:dyDescent="0.3">
      <c r="B467" s="316"/>
      <c r="C467" s="316"/>
      <c r="E467" s="143"/>
      <c r="F467" s="228"/>
      <c r="G467" s="228"/>
      <c r="H467" s="143"/>
      <c r="I467" s="136"/>
      <c r="J467" s="316"/>
      <c r="K467" s="158"/>
      <c r="L467" s="159"/>
      <c r="M467" s="226" t="s">
        <v>303</v>
      </c>
      <c r="N467" s="315" t="s">
        <v>638</v>
      </c>
      <c r="O467" s="196" t="s">
        <v>573</v>
      </c>
      <c r="P467" s="196" t="s">
        <v>573</v>
      </c>
      <c r="Q467" s="338"/>
      <c r="R467" s="196" t="s">
        <v>573</v>
      </c>
      <c r="S467" s="338"/>
      <c r="T467" s="196" t="s">
        <v>573</v>
      </c>
      <c r="U467" s="177"/>
      <c r="V467" s="196" t="s">
        <v>573</v>
      </c>
      <c r="W467" s="177"/>
      <c r="X467" s="196" t="s">
        <v>573</v>
      </c>
      <c r="Y467" s="177"/>
      <c r="Z467" s="196" t="s">
        <v>573</v>
      </c>
      <c r="AA467" s="178"/>
      <c r="AB467" s="316"/>
      <c r="AC467" s="155"/>
      <c r="AD467" s="155"/>
      <c r="AE467" s="156"/>
      <c r="AF467" s="157"/>
      <c r="AG467" s="297"/>
    </row>
    <row r="468" spans="2:33" ht="49.5" x14ac:dyDescent="0.3">
      <c r="B468" s="316"/>
      <c r="C468" s="316"/>
      <c r="E468" s="143"/>
      <c r="F468" s="228"/>
      <c r="G468" s="228"/>
      <c r="H468" s="143"/>
      <c r="I468" s="136"/>
      <c r="J468" s="316"/>
      <c r="K468" s="158"/>
      <c r="L468" s="159"/>
      <c r="M468" s="226" t="s">
        <v>318</v>
      </c>
      <c r="N468" s="315" t="s">
        <v>639</v>
      </c>
      <c r="O468" s="196" t="s">
        <v>573</v>
      </c>
      <c r="P468" s="196" t="s">
        <v>573</v>
      </c>
      <c r="Q468" s="338"/>
      <c r="R468" s="196" t="s">
        <v>573</v>
      </c>
      <c r="S468" s="338"/>
      <c r="T468" s="196" t="s">
        <v>573</v>
      </c>
      <c r="U468" s="177"/>
      <c r="V468" s="196" t="s">
        <v>573</v>
      </c>
      <c r="W468" s="177"/>
      <c r="X468" s="196" t="s">
        <v>573</v>
      </c>
      <c r="Y468" s="177"/>
      <c r="Z468" s="196" t="s">
        <v>573</v>
      </c>
      <c r="AA468" s="178"/>
      <c r="AB468" s="316"/>
      <c r="AC468" s="155"/>
      <c r="AD468" s="155"/>
      <c r="AE468" s="156"/>
      <c r="AF468" s="157"/>
      <c r="AG468" s="297"/>
    </row>
    <row r="469" spans="2:33" ht="33" x14ac:dyDescent="0.3">
      <c r="B469" s="316"/>
      <c r="C469" s="316"/>
      <c r="E469" s="143"/>
      <c r="F469" s="228"/>
      <c r="G469" s="228"/>
      <c r="H469" s="143"/>
      <c r="I469" s="136"/>
      <c r="J469" s="316"/>
      <c r="K469" s="158"/>
      <c r="L469" s="159"/>
      <c r="M469" s="226" t="s">
        <v>331</v>
      </c>
      <c r="N469" s="315" t="s">
        <v>773</v>
      </c>
      <c r="O469" s="196" t="s">
        <v>573</v>
      </c>
      <c r="P469" s="196" t="s">
        <v>573</v>
      </c>
      <c r="Q469" s="338"/>
      <c r="R469" s="196" t="s">
        <v>573</v>
      </c>
      <c r="S469" s="338"/>
      <c r="T469" s="196" t="s">
        <v>573</v>
      </c>
      <c r="U469" s="177"/>
      <c r="V469" s="196" t="s">
        <v>573</v>
      </c>
      <c r="W469" s="177"/>
      <c r="X469" s="196" t="s">
        <v>573</v>
      </c>
      <c r="Y469" s="177"/>
      <c r="Z469" s="196" t="s">
        <v>573</v>
      </c>
      <c r="AA469" s="178"/>
      <c r="AB469" s="316"/>
      <c r="AC469" s="155"/>
      <c r="AD469" s="155"/>
      <c r="AE469" s="156"/>
      <c r="AF469" s="157"/>
      <c r="AG469" s="297"/>
    </row>
    <row r="470" spans="2:33" ht="49.5" x14ac:dyDescent="0.3">
      <c r="B470" s="316"/>
      <c r="C470" s="316"/>
      <c r="E470" s="143"/>
      <c r="F470" s="228"/>
      <c r="G470" s="228"/>
      <c r="H470" s="143"/>
      <c r="I470" s="136"/>
      <c r="J470" s="316"/>
      <c r="K470" s="158"/>
      <c r="L470" s="159"/>
      <c r="M470" s="226" t="s">
        <v>353</v>
      </c>
      <c r="N470" s="315" t="s">
        <v>642</v>
      </c>
      <c r="O470" s="196" t="s">
        <v>573</v>
      </c>
      <c r="P470" s="196" t="s">
        <v>573</v>
      </c>
      <c r="Q470" s="338"/>
      <c r="R470" s="196" t="s">
        <v>573</v>
      </c>
      <c r="S470" s="338"/>
      <c r="T470" s="196" t="s">
        <v>573</v>
      </c>
      <c r="U470" s="177"/>
      <c r="V470" s="196" t="s">
        <v>573</v>
      </c>
      <c r="W470" s="177"/>
      <c r="X470" s="196" t="s">
        <v>573</v>
      </c>
      <c r="Y470" s="177"/>
      <c r="Z470" s="196" t="s">
        <v>573</v>
      </c>
      <c r="AA470" s="178"/>
      <c r="AB470" s="316"/>
      <c r="AC470" s="155"/>
      <c r="AD470" s="155"/>
      <c r="AE470" s="156"/>
      <c r="AF470" s="157"/>
      <c r="AG470" s="297"/>
    </row>
    <row r="471" spans="2:33" ht="66" x14ac:dyDescent="0.3">
      <c r="B471" s="316"/>
      <c r="C471" s="316"/>
      <c r="E471" s="143"/>
      <c r="F471" s="228"/>
      <c r="G471" s="228"/>
      <c r="H471" s="143"/>
      <c r="I471" s="136"/>
      <c r="J471" s="316"/>
      <c r="K471" s="158"/>
      <c r="L471" s="159"/>
      <c r="M471" s="226" t="s">
        <v>352</v>
      </c>
      <c r="N471" s="315" t="s">
        <v>643</v>
      </c>
      <c r="O471" s="196" t="s">
        <v>573</v>
      </c>
      <c r="P471" s="196" t="s">
        <v>573</v>
      </c>
      <c r="Q471" s="338"/>
      <c r="R471" s="196" t="s">
        <v>573</v>
      </c>
      <c r="S471" s="338"/>
      <c r="T471" s="196" t="s">
        <v>573</v>
      </c>
      <c r="U471" s="177"/>
      <c r="V471" s="196" t="s">
        <v>573</v>
      </c>
      <c r="W471" s="177"/>
      <c r="X471" s="196" t="s">
        <v>573</v>
      </c>
      <c r="Y471" s="177"/>
      <c r="Z471" s="196" t="s">
        <v>573</v>
      </c>
      <c r="AA471" s="178"/>
      <c r="AB471" s="316"/>
      <c r="AC471" s="155"/>
      <c r="AD471" s="155"/>
      <c r="AE471" s="156"/>
      <c r="AF471" s="157"/>
      <c r="AG471" s="297"/>
    </row>
    <row r="472" spans="2:33" ht="33" x14ac:dyDescent="0.3">
      <c r="B472" s="316"/>
      <c r="C472" s="316"/>
      <c r="E472" s="143"/>
      <c r="F472" s="228"/>
      <c r="G472" s="228"/>
      <c r="H472" s="143"/>
      <c r="I472" s="136"/>
      <c r="J472" s="316"/>
      <c r="K472" s="158"/>
      <c r="L472" s="159"/>
      <c r="M472" s="226" t="s">
        <v>402</v>
      </c>
      <c r="N472" s="315" t="s">
        <v>644</v>
      </c>
      <c r="O472" s="196" t="s">
        <v>573</v>
      </c>
      <c r="P472" s="196" t="s">
        <v>573</v>
      </c>
      <c r="Q472" s="338"/>
      <c r="R472" s="196" t="s">
        <v>573</v>
      </c>
      <c r="S472" s="338"/>
      <c r="T472" s="196" t="s">
        <v>573</v>
      </c>
      <c r="U472" s="177"/>
      <c r="V472" s="196" t="s">
        <v>573</v>
      </c>
      <c r="W472" s="177"/>
      <c r="X472" s="196" t="s">
        <v>573</v>
      </c>
      <c r="Y472" s="177"/>
      <c r="Z472" s="196" t="s">
        <v>573</v>
      </c>
      <c r="AA472" s="178"/>
      <c r="AB472" s="316"/>
      <c r="AC472" s="155"/>
      <c r="AD472" s="155"/>
      <c r="AE472" s="156"/>
      <c r="AF472" s="157"/>
      <c r="AG472" s="297"/>
    </row>
    <row r="473" spans="2:33" ht="33" x14ac:dyDescent="0.3">
      <c r="B473" s="316"/>
      <c r="C473" s="316"/>
      <c r="E473" s="143"/>
      <c r="F473" s="228"/>
      <c r="G473" s="228"/>
      <c r="H473" s="143"/>
      <c r="I473" s="136"/>
      <c r="J473" s="316"/>
      <c r="K473" s="158"/>
      <c r="L473" s="159"/>
      <c r="M473" s="226" t="s">
        <v>453</v>
      </c>
      <c r="N473" s="315" t="s">
        <v>645</v>
      </c>
      <c r="O473" s="196" t="s">
        <v>573</v>
      </c>
      <c r="P473" s="196" t="s">
        <v>573</v>
      </c>
      <c r="Q473" s="338"/>
      <c r="R473" s="196" t="s">
        <v>573</v>
      </c>
      <c r="S473" s="338"/>
      <c r="T473" s="196" t="s">
        <v>573</v>
      </c>
      <c r="U473" s="177"/>
      <c r="V473" s="196" t="s">
        <v>573</v>
      </c>
      <c r="W473" s="177"/>
      <c r="X473" s="196" t="s">
        <v>573</v>
      </c>
      <c r="Y473" s="177"/>
      <c r="Z473" s="196" t="s">
        <v>573</v>
      </c>
      <c r="AA473" s="178"/>
      <c r="AB473" s="316"/>
      <c r="AC473" s="155"/>
      <c r="AD473" s="155"/>
      <c r="AE473" s="156"/>
      <c r="AF473" s="157"/>
      <c r="AG473" s="297"/>
    </row>
    <row r="474" spans="2:33" ht="49.5" x14ac:dyDescent="0.3">
      <c r="B474" s="316"/>
      <c r="C474" s="316"/>
      <c r="E474" s="143"/>
      <c r="F474" s="228"/>
      <c r="G474" s="228"/>
      <c r="H474" s="143"/>
      <c r="I474" s="136"/>
      <c r="J474" s="316"/>
      <c r="K474" s="158"/>
      <c r="L474" s="159"/>
      <c r="M474" s="226" t="s">
        <v>454</v>
      </c>
      <c r="N474" s="315" t="s">
        <v>646</v>
      </c>
      <c r="O474" s="196" t="s">
        <v>573</v>
      </c>
      <c r="P474" s="196" t="s">
        <v>573</v>
      </c>
      <c r="Q474" s="338"/>
      <c r="R474" s="196" t="s">
        <v>573</v>
      </c>
      <c r="S474" s="338"/>
      <c r="T474" s="196" t="s">
        <v>573</v>
      </c>
      <c r="U474" s="177"/>
      <c r="V474" s="196" t="s">
        <v>573</v>
      </c>
      <c r="W474" s="177"/>
      <c r="X474" s="196" t="s">
        <v>573</v>
      </c>
      <c r="Y474" s="177"/>
      <c r="Z474" s="196" t="s">
        <v>573</v>
      </c>
      <c r="AA474" s="178"/>
      <c r="AB474" s="316"/>
      <c r="AC474" s="155"/>
      <c r="AD474" s="155"/>
      <c r="AE474" s="156"/>
      <c r="AF474" s="157"/>
      <c r="AG474" s="297"/>
    </row>
    <row r="475" spans="2:33" ht="33" x14ac:dyDescent="0.3">
      <c r="B475" s="316"/>
      <c r="C475" s="316"/>
      <c r="E475" s="143"/>
      <c r="F475" s="228"/>
      <c r="G475" s="228"/>
      <c r="H475" s="143"/>
      <c r="I475" s="136"/>
      <c r="J475" s="316"/>
      <c r="K475" s="158"/>
      <c r="L475" s="159"/>
      <c r="M475" s="226" t="s">
        <v>521</v>
      </c>
      <c r="N475" s="315" t="s">
        <v>647</v>
      </c>
      <c r="O475" s="196" t="s">
        <v>573</v>
      </c>
      <c r="P475" s="196" t="s">
        <v>573</v>
      </c>
      <c r="Q475" s="338"/>
      <c r="R475" s="196" t="s">
        <v>573</v>
      </c>
      <c r="S475" s="338"/>
      <c r="T475" s="196" t="s">
        <v>573</v>
      </c>
      <c r="U475" s="177"/>
      <c r="V475" s="196" t="s">
        <v>573</v>
      </c>
      <c r="W475" s="177"/>
      <c r="X475" s="196" t="s">
        <v>573</v>
      </c>
      <c r="Y475" s="177"/>
      <c r="Z475" s="196" t="s">
        <v>573</v>
      </c>
      <c r="AA475" s="178"/>
      <c r="AB475" s="316"/>
      <c r="AC475" s="155"/>
      <c r="AD475" s="155"/>
      <c r="AE475" s="156"/>
      <c r="AF475" s="157"/>
      <c r="AG475" s="297"/>
    </row>
    <row r="476" spans="2:33" ht="33" x14ac:dyDescent="0.3">
      <c r="B476" s="316"/>
      <c r="C476" s="316"/>
      <c r="E476" s="143"/>
      <c r="F476" s="228"/>
      <c r="G476" s="228"/>
      <c r="H476" s="143"/>
      <c r="I476" s="136"/>
      <c r="J476" s="316"/>
      <c r="K476" s="158"/>
      <c r="L476" s="159"/>
      <c r="M476" s="226" t="s">
        <v>522</v>
      </c>
      <c r="N476" s="315" t="s">
        <v>648</v>
      </c>
      <c r="O476" s="196" t="s">
        <v>573</v>
      </c>
      <c r="P476" s="196" t="s">
        <v>573</v>
      </c>
      <c r="Q476" s="338"/>
      <c r="R476" s="196" t="s">
        <v>573</v>
      </c>
      <c r="S476" s="338"/>
      <c r="T476" s="196" t="s">
        <v>573</v>
      </c>
      <c r="U476" s="177"/>
      <c r="V476" s="196" t="s">
        <v>573</v>
      </c>
      <c r="W476" s="177"/>
      <c r="X476" s="196" t="s">
        <v>573</v>
      </c>
      <c r="Y476" s="177"/>
      <c r="Z476" s="196" t="s">
        <v>573</v>
      </c>
      <c r="AA476" s="178"/>
      <c r="AB476" s="316"/>
      <c r="AC476" s="155"/>
      <c r="AD476" s="155"/>
      <c r="AE476" s="156"/>
      <c r="AF476" s="157"/>
      <c r="AG476" s="297"/>
    </row>
    <row r="477" spans="2:33" x14ac:dyDescent="0.3">
      <c r="B477" s="316"/>
      <c r="C477" s="316"/>
      <c r="E477" s="143"/>
      <c r="F477" s="228"/>
      <c r="G477" s="228"/>
      <c r="H477" s="143"/>
      <c r="I477" s="136"/>
      <c r="J477" s="316"/>
      <c r="K477" s="158"/>
      <c r="L477" s="159"/>
      <c r="M477" s="226" t="s">
        <v>523</v>
      </c>
      <c r="N477" s="315" t="s">
        <v>641</v>
      </c>
      <c r="O477" s="196" t="s">
        <v>573</v>
      </c>
      <c r="P477" s="196" t="s">
        <v>573</v>
      </c>
      <c r="Q477" s="338"/>
      <c r="R477" s="196" t="s">
        <v>573</v>
      </c>
      <c r="S477" s="338"/>
      <c r="T477" s="196" t="s">
        <v>573</v>
      </c>
      <c r="U477" s="177"/>
      <c r="V477" s="196" t="s">
        <v>573</v>
      </c>
      <c r="W477" s="177"/>
      <c r="X477" s="196" t="s">
        <v>573</v>
      </c>
      <c r="Y477" s="177"/>
      <c r="Z477" s="196" t="s">
        <v>573</v>
      </c>
      <c r="AA477" s="178"/>
      <c r="AB477" s="316"/>
      <c r="AC477" s="155"/>
      <c r="AD477" s="155"/>
      <c r="AE477" s="156"/>
      <c r="AF477" s="157"/>
      <c r="AG477" s="297"/>
    </row>
    <row r="478" spans="2:33" ht="33" x14ac:dyDescent="0.3">
      <c r="B478" s="316"/>
      <c r="C478" s="316"/>
      <c r="E478" s="143"/>
      <c r="F478" s="228"/>
      <c r="G478" s="228"/>
      <c r="H478" s="143"/>
      <c r="I478" s="136"/>
      <c r="J478" s="316"/>
      <c r="K478" s="137" t="s">
        <v>295</v>
      </c>
      <c r="L478" s="314" t="s">
        <v>291</v>
      </c>
      <c r="M478" s="519" t="s">
        <v>689</v>
      </c>
      <c r="N478" s="520"/>
      <c r="O478" s="137"/>
      <c r="P478" s="137"/>
      <c r="Q478" s="338"/>
      <c r="R478" s="137"/>
      <c r="S478" s="338"/>
      <c r="T478" s="137"/>
      <c r="U478" s="177"/>
      <c r="V478" s="137"/>
      <c r="W478" s="177"/>
      <c r="X478" s="137"/>
      <c r="Y478" s="177"/>
      <c r="Z478" s="137"/>
      <c r="AA478" s="178"/>
      <c r="AB478" s="316"/>
      <c r="AC478" s="155"/>
      <c r="AD478" s="155"/>
      <c r="AE478" s="156"/>
      <c r="AF478" s="157"/>
      <c r="AG478" s="297"/>
    </row>
    <row r="479" spans="2:33" ht="33" x14ac:dyDescent="0.3">
      <c r="B479" s="179"/>
      <c r="C479" s="179"/>
      <c r="D479" s="298"/>
      <c r="E479" s="180"/>
      <c r="F479" s="238"/>
      <c r="G479" s="238"/>
      <c r="H479" s="180"/>
      <c r="I479" s="181"/>
      <c r="J479" s="179"/>
      <c r="K479" s="183" t="s">
        <v>297</v>
      </c>
      <c r="L479" s="182" t="s">
        <v>291</v>
      </c>
      <c r="M479" s="230" t="s">
        <v>501</v>
      </c>
      <c r="N479" s="227"/>
      <c r="O479" s="183"/>
      <c r="P479" s="183"/>
      <c r="Q479" s="339"/>
      <c r="R479" s="183"/>
      <c r="S479" s="339"/>
      <c r="T479" s="183"/>
      <c r="U479" s="347"/>
      <c r="V479" s="183"/>
      <c r="W479" s="347"/>
      <c r="X479" s="183"/>
      <c r="Y479" s="347"/>
      <c r="Z479" s="183"/>
      <c r="AA479" s="350"/>
      <c r="AB479" s="179"/>
      <c r="AC479" s="187"/>
      <c r="AD479" s="187"/>
      <c r="AE479" s="188"/>
      <c r="AF479" s="189"/>
      <c r="AG479" s="299"/>
    </row>
    <row r="480" spans="2:33" x14ac:dyDescent="0.3">
      <c r="B480" s="316"/>
      <c r="C480" s="316"/>
      <c r="E480" s="143"/>
      <c r="F480" s="228"/>
      <c r="G480" s="228"/>
      <c r="H480" s="143"/>
      <c r="I480" s="136"/>
      <c r="J480" s="316"/>
      <c r="K480" s="158"/>
      <c r="L480" s="159"/>
      <c r="M480" s="159"/>
      <c r="N480" s="315"/>
      <c r="O480" s="316"/>
      <c r="P480" s="316"/>
      <c r="Q480" s="338"/>
      <c r="R480" s="316"/>
      <c r="S480" s="338"/>
      <c r="T480" s="316"/>
      <c r="U480" s="177"/>
      <c r="V480" s="316"/>
      <c r="W480" s="177"/>
      <c r="X480" s="316"/>
      <c r="Y480" s="177"/>
      <c r="Z480" s="316"/>
      <c r="AA480" s="178"/>
      <c r="AB480" s="316"/>
      <c r="AC480" s="155"/>
      <c r="AD480" s="155"/>
      <c r="AE480" s="156"/>
      <c r="AF480" s="157"/>
      <c r="AG480" s="297"/>
    </row>
    <row r="481" spans="1:33" s="72" customFormat="1" ht="33" x14ac:dyDescent="0.3">
      <c r="A481" s="269"/>
      <c r="B481" s="316"/>
      <c r="C481" s="316"/>
      <c r="D481" s="269"/>
      <c r="E481" s="143">
        <v>1</v>
      </c>
      <c r="F481" s="228" t="s">
        <v>131</v>
      </c>
      <c r="G481" s="228" t="s">
        <v>131</v>
      </c>
      <c r="H481" s="143">
        <v>12</v>
      </c>
      <c r="I481" s="136">
        <v>3</v>
      </c>
      <c r="J481" s="316" t="s">
        <v>390</v>
      </c>
      <c r="K481" s="158" t="s">
        <v>290</v>
      </c>
      <c r="L481" s="159" t="s">
        <v>291</v>
      </c>
      <c r="M481" s="514" t="s">
        <v>312</v>
      </c>
      <c r="N481" s="515"/>
      <c r="O481" s="316" t="s">
        <v>301</v>
      </c>
      <c r="P481" s="316" t="s">
        <v>301</v>
      </c>
      <c r="Q481" s="338">
        <v>865254000</v>
      </c>
      <c r="R481" s="316" t="s">
        <v>301</v>
      </c>
      <c r="S481" s="334">
        <f>Q481+(Q481*10%)-400</f>
        <v>951779000</v>
      </c>
      <c r="T481" s="316" t="s">
        <v>301</v>
      </c>
      <c r="U481" s="334">
        <f>S481+(S481*10%)-900</f>
        <v>1046956000</v>
      </c>
      <c r="V481" s="316" t="s">
        <v>301</v>
      </c>
      <c r="W481" s="334">
        <f>U481+(U481*10%)-600</f>
        <v>1151651000</v>
      </c>
      <c r="X481" s="316" t="s">
        <v>301</v>
      </c>
      <c r="Y481" s="334">
        <f>W481+(W481*10%)-100</f>
        <v>1266816000</v>
      </c>
      <c r="Z481" s="316" t="s">
        <v>301</v>
      </c>
      <c r="AA481" s="178">
        <f>Y481+W481+U481+S481+Q481</f>
        <v>5282456000</v>
      </c>
      <c r="AB481" s="316" t="s">
        <v>66</v>
      </c>
      <c r="AC481" s="155"/>
      <c r="AD481" s="155"/>
      <c r="AE481" s="156"/>
      <c r="AF481" s="157"/>
      <c r="AG481" s="316" t="s">
        <v>66</v>
      </c>
    </row>
    <row r="482" spans="1:33" s="72" customFormat="1" ht="33" x14ac:dyDescent="0.3">
      <c r="A482" s="269"/>
      <c r="B482" s="316"/>
      <c r="C482" s="316"/>
      <c r="D482" s="269"/>
      <c r="E482" s="143"/>
      <c r="F482" s="228"/>
      <c r="G482" s="228"/>
      <c r="H482" s="143"/>
      <c r="I482" s="136"/>
      <c r="J482" s="316"/>
      <c r="K482" s="158" t="s">
        <v>293</v>
      </c>
      <c r="L482" s="159" t="s">
        <v>291</v>
      </c>
      <c r="M482" s="160" t="s">
        <v>299</v>
      </c>
      <c r="N482" s="315" t="s">
        <v>774</v>
      </c>
      <c r="O482" s="316" t="s">
        <v>775</v>
      </c>
      <c r="P482" s="316" t="s">
        <v>775</v>
      </c>
      <c r="Q482" s="338"/>
      <c r="R482" s="316" t="s">
        <v>775</v>
      </c>
      <c r="S482" s="338"/>
      <c r="T482" s="316" t="s">
        <v>775</v>
      </c>
      <c r="U482" s="177"/>
      <c r="V482" s="316" t="s">
        <v>775</v>
      </c>
      <c r="W482" s="177"/>
      <c r="X482" s="316" t="s">
        <v>775</v>
      </c>
      <c r="Y482" s="177"/>
      <c r="Z482" s="316" t="s">
        <v>775</v>
      </c>
      <c r="AA482" s="178"/>
      <c r="AB482" s="316"/>
      <c r="AC482" s="155"/>
      <c r="AD482" s="155"/>
      <c r="AE482" s="156"/>
      <c r="AF482" s="157"/>
      <c r="AG482" s="297"/>
    </row>
    <row r="483" spans="1:33" s="72" customFormat="1" ht="82.5" x14ac:dyDescent="0.3">
      <c r="A483" s="269"/>
      <c r="B483" s="316"/>
      <c r="C483" s="316"/>
      <c r="D483" s="269"/>
      <c r="E483" s="143"/>
      <c r="F483" s="228"/>
      <c r="G483" s="228"/>
      <c r="H483" s="143"/>
      <c r="I483" s="136"/>
      <c r="J483" s="316"/>
      <c r="K483" s="158"/>
      <c r="L483" s="159"/>
      <c r="M483" s="160" t="s">
        <v>303</v>
      </c>
      <c r="N483" s="205" t="s">
        <v>776</v>
      </c>
      <c r="O483" s="206" t="s">
        <v>777</v>
      </c>
      <c r="P483" s="206" t="s">
        <v>777</v>
      </c>
      <c r="Q483" s="338"/>
      <c r="R483" s="206" t="s">
        <v>777</v>
      </c>
      <c r="S483" s="338"/>
      <c r="T483" s="206" t="s">
        <v>777</v>
      </c>
      <c r="U483" s="177"/>
      <c r="V483" s="206" t="s">
        <v>777</v>
      </c>
      <c r="W483" s="177"/>
      <c r="X483" s="206" t="s">
        <v>777</v>
      </c>
      <c r="Y483" s="177"/>
      <c r="Z483" s="206" t="s">
        <v>777</v>
      </c>
      <c r="AA483" s="178"/>
      <c r="AB483" s="316"/>
      <c r="AC483" s="155"/>
      <c r="AD483" s="155"/>
      <c r="AE483" s="156"/>
      <c r="AF483" s="157"/>
      <c r="AG483" s="297"/>
    </row>
    <row r="484" spans="1:33" s="72" customFormat="1" ht="49.5" x14ac:dyDescent="0.3">
      <c r="A484" s="269"/>
      <c r="B484" s="316"/>
      <c r="C484" s="316"/>
      <c r="D484" s="269"/>
      <c r="E484" s="143"/>
      <c r="F484" s="228"/>
      <c r="G484" s="228"/>
      <c r="H484" s="143"/>
      <c r="I484" s="136"/>
      <c r="J484" s="316"/>
      <c r="K484" s="158"/>
      <c r="L484" s="159"/>
      <c r="M484" s="160" t="s">
        <v>318</v>
      </c>
      <c r="N484" s="205" t="s">
        <v>778</v>
      </c>
      <c r="O484" s="206" t="s">
        <v>779</v>
      </c>
      <c r="P484" s="206" t="s">
        <v>779</v>
      </c>
      <c r="Q484" s="338"/>
      <c r="R484" s="206" t="s">
        <v>779</v>
      </c>
      <c r="S484" s="338"/>
      <c r="T484" s="206" t="s">
        <v>779</v>
      </c>
      <c r="U484" s="177"/>
      <c r="V484" s="206" t="s">
        <v>779</v>
      </c>
      <c r="W484" s="177"/>
      <c r="X484" s="206" t="s">
        <v>779</v>
      </c>
      <c r="Y484" s="177"/>
      <c r="Z484" s="206" t="s">
        <v>779</v>
      </c>
      <c r="AA484" s="178"/>
      <c r="AB484" s="316"/>
      <c r="AC484" s="155"/>
      <c r="AD484" s="155"/>
      <c r="AE484" s="156"/>
      <c r="AF484" s="157"/>
      <c r="AG484" s="297"/>
    </row>
    <row r="485" spans="1:33" s="72" customFormat="1" ht="49.5" x14ac:dyDescent="0.3">
      <c r="A485" s="269"/>
      <c r="B485" s="316"/>
      <c r="C485" s="316"/>
      <c r="D485" s="269"/>
      <c r="E485" s="143"/>
      <c r="F485" s="228"/>
      <c r="G485" s="228"/>
      <c r="H485" s="143"/>
      <c r="I485" s="136"/>
      <c r="J485" s="316"/>
      <c r="K485" s="158"/>
      <c r="L485" s="159"/>
      <c r="M485" s="160" t="s">
        <v>331</v>
      </c>
      <c r="N485" s="205" t="s">
        <v>780</v>
      </c>
      <c r="O485" s="206" t="s">
        <v>781</v>
      </c>
      <c r="P485" s="206" t="s">
        <v>781</v>
      </c>
      <c r="Q485" s="338"/>
      <c r="R485" s="206" t="s">
        <v>781</v>
      </c>
      <c r="S485" s="338"/>
      <c r="T485" s="206" t="s">
        <v>781</v>
      </c>
      <c r="U485" s="177"/>
      <c r="V485" s="206" t="s">
        <v>781</v>
      </c>
      <c r="W485" s="177"/>
      <c r="X485" s="206" t="s">
        <v>781</v>
      </c>
      <c r="Y485" s="177"/>
      <c r="Z485" s="206" t="s">
        <v>781</v>
      </c>
      <c r="AA485" s="178"/>
      <c r="AB485" s="316"/>
      <c r="AC485" s="155"/>
      <c r="AD485" s="155"/>
      <c r="AE485" s="156"/>
      <c r="AF485" s="157"/>
      <c r="AG485" s="297"/>
    </row>
    <row r="486" spans="1:33" s="72" customFormat="1" ht="82.5" x14ac:dyDescent="0.3">
      <c r="A486" s="269"/>
      <c r="B486" s="316"/>
      <c r="C486" s="316"/>
      <c r="D486" s="269"/>
      <c r="E486" s="143"/>
      <c r="F486" s="228"/>
      <c r="G486" s="228"/>
      <c r="H486" s="143"/>
      <c r="I486" s="136"/>
      <c r="J486" s="316"/>
      <c r="K486" s="158"/>
      <c r="L486" s="159"/>
      <c r="M486" s="160" t="s">
        <v>353</v>
      </c>
      <c r="N486" s="315" t="s">
        <v>782</v>
      </c>
      <c r="O486" s="316" t="s">
        <v>783</v>
      </c>
      <c r="P486" s="316" t="s">
        <v>783</v>
      </c>
      <c r="Q486" s="338"/>
      <c r="R486" s="316" t="s">
        <v>783</v>
      </c>
      <c r="S486" s="338"/>
      <c r="T486" s="316" t="s">
        <v>783</v>
      </c>
      <c r="U486" s="177"/>
      <c r="V486" s="316" t="s">
        <v>783</v>
      </c>
      <c r="W486" s="177"/>
      <c r="X486" s="316" t="s">
        <v>783</v>
      </c>
      <c r="Y486" s="177"/>
      <c r="Z486" s="316" t="s">
        <v>783</v>
      </c>
      <c r="AA486" s="178"/>
      <c r="AB486" s="316"/>
      <c r="AC486" s="155"/>
      <c r="AD486" s="155"/>
      <c r="AE486" s="156"/>
      <c r="AF486" s="157"/>
      <c r="AG486" s="297"/>
    </row>
    <row r="487" spans="1:33" s="72" customFormat="1" ht="115.5" x14ac:dyDescent="0.3">
      <c r="A487" s="269"/>
      <c r="B487" s="316"/>
      <c r="C487" s="316"/>
      <c r="D487" s="269"/>
      <c r="E487" s="143"/>
      <c r="F487" s="228"/>
      <c r="G487" s="228"/>
      <c r="H487" s="143"/>
      <c r="I487" s="136"/>
      <c r="J487" s="316"/>
      <c r="K487" s="158"/>
      <c r="L487" s="159"/>
      <c r="M487" s="160" t="s">
        <v>352</v>
      </c>
      <c r="N487" s="315" t="s">
        <v>784</v>
      </c>
      <c r="O487" s="316" t="s">
        <v>543</v>
      </c>
      <c r="P487" s="316" t="s">
        <v>543</v>
      </c>
      <c r="Q487" s="338"/>
      <c r="R487" s="316" t="s">
        <v>543</v>
      </c>
      <c r="S487" s="338"/>
      <c r="T487" s="316" t="s">
        <v>543</v>
      </c>
      <c r="U487" s="177"/>
      <c r="V487" s="316" t="s">
        <v>543</v>
      </c>
      <c r="W487" s="177"/>
      <c r="X487" s="316" t="s">
        <v>543</v>
      </c>
      <c r="Y487" s="177"/>
      <c r="Z487" s="316" t="s">
        <v>543</v>
      </c>
      <c r="AA487" s="178"/>
      <c r="AB487" s="316"/>
      <c r="AC487" s="155"/>
      <c r="AD487" s="155"/>
      <c r="AE487" s="156"/>
      <c r="AF487" s="157"/>
      <c r="AG487" s="297"/>
    </row>
    <row r="488" spans="1:33" s="72" customFormat="1" ht="99" x14ac:dyDescent="0.3">
      <c r="A488" s="269"/>
      <c r="B488" s="316"/>
      <c r="C488" s="316"/>
      <c r="D488" s="269"/>
      <c r="E488" s="143"/>
      <c r="F488" s="228"/>
      <c r="G488" s="228"/>
      <c r="H488" s="143"/>
      <c r="I488" s="136"/>
      <c r="J488" s="316"/>
      <c r="K488" s="137"/>
      <c r="L488" s="314"/>
      <c r="M488" s="226" t="s">
        <v>402</v>
      </c>
      <c r="N488" s="205" t="s">
        <v>663</v>
      </c>
      <c r="O488" s="206" t="s">
        <v>785</v>
      </c>
      <c r="P488" s="206" t="s">
        <v>785</v>
      </c>
      <c r="Q488" s="338"/>
      <c r="R488" s="206" t="s">
        <v>785</v>
      </c>
      <c r="S488" s="338"/>
      <c r="T488" s="206" t="s">
        <v>785</v>
      </c>
      <c r="U488" s="177"/>
      <c r="V488" s="206" t="s">
        <v>785</v>
      </c>
      <c r="W488" s="177"/>
      <c r="X488" s="206" t="s">
        <v>785</v>
      </c>
      <c r="Y488" s="177"/>
      <c r="Z488" s="206" t="s">
        <v>785</v>
      </c>
      <c r="AA488" s="178"/>
      <c r="AB488" s="316"/>
      <c r="AC488" s="155"/>
      <c r="AD488" s="155"/>
      <c r="AE488" s="156"/>
      <c r="AF488" s="157"/>
      <c r="AG488" s="297"/>
    </row>
    <row r="489" spans="1:33" s="72" customFormat="1" ht="82.5" x14ac:dyDescent="0.3">
      <c r="A489" s="269"/>
      <c r="B489" s="316"/>
      <c r="C489" s="316"/>
      <c r="D489" s="269"/>
      <c r="E489" s="143"/>
      <c r="F489" s="228"/>
      <c r="G489" s="228"/>
      <c r="H489" s="143"/>
      <c r="I489" s="136"/>
      <c r="J489" s="316"/>
      <c r="K489" s="137"/>
      <c r="L489" s="314"/>
      <c r="M489" s="226" t="s">
        <v>453</v>
      </c>
      <c r="N489" s="205" t="s">
        <v>786</v>
      </c>
      <c r="O489" s="206" t="s">
        <v>670</v>
      </c>
      <c r="P489" s="206" t="s">
        <v>670</v>
      </c>
      <c r="Q489" s="338"/>
      <c r="R489" s="206" t="s">
        <v>670</v>
      </c>
      <c r="S489" s="338"/>
      <c r="T489" s="206" t="s">
        <v>670</v>
      </c>
      <c r="U489" s="177"/>
      <c r="V489" s="206" t="s">
        <v>670</v>
      </c>
      <c r="W489" s="177"/>
      <c r="X489" s="206" t="s">
        <v>670</v>
      </c>
      <c r="Y489" s="177"/>
      <c r="Z489" s="206" t="s">
        <v>670</v>
      </c>
      <c r="AA489" s="178"/>
      <c r="AB489" s="316"/>
      <c r="AC489" s="155"/>
      <c r="AD489" s="155"/>
      <c r="AE489" s="156"/>
      <c r="AF489" s="157"/>
      <c r="AG489" s="297"/>
    </row>
    <row r="490" spans="1:33" s="72" customFormat="1" ht="49.5" x14ac:dyDescent="0.3">
      <c r="A490" s="269"/>
      <c r="B490" s="316"/>
      <c r="C490" s="316"/>
      <c r="D490" s="269"/>
      <c r="E490" s="143"/>
      <c r="F490" s="228"/>
      <c r="G490" s="228"/>
      <c r="H490" s="143"/>
      <c r="I490" s="136"/>
      <c r="J490" s="316"/>
      <c r="K490" s="137"/>
      <c r="L490" s="314"/>
      <c r="M490" s="226" t="s">
        <v>454</v>
      </c>
      <c r="N490" s="205" t="s">
        <v>787</v>
      </c>
      <c r="O490" s="206" t="s">
        <v>670</v>
      </c>
      <c r="P490" s="206" t="s">
        <v>670</v>
      </c>
      <c r="Q490" s="338"/>
      <c r="R490" s="206" t="s">
        <v>670</v>
      </c>
      <c r="S490" s="338"/>
      <c r="T490" s="206" t="s">
        <v>670</v>
      </c>
      <c r="U490" s="177"/>
      <c r="V490" s="206" t="s">
        <v>670</v>
      </c>
      <c r="W490" s="177"/>
      <c r="X490" s="206" t="s">
        <v>670</v>
      </c>
      <c r="Y490" s="177"/>
      <c r="Z490" s="206" t="s">
        <v>670</v>
      </c>
      <c r="AA490" s="178"/>
      <c r="AB490" s="316"/>
      <c r="AC490" s="155"/>
      <c r="AD490" s="155"/>
      <c r="AE490" s="156"/>
      <c r="AF490" s="157"/>
      <c r="AG490" s="297"/>
    </row>
    <row r="491" spans="1:33" s="72" customFormat="1" ht="66" x14ac:dyDescent="0.3">
      <c r="A491" s="269"/>
      <c r="B491" s="316"/>
      <c r="C491" s="316"/>
      <c r="D491" s="269"/>
      <c r="E491" s="143"/>
      <c r="F491" s="228"/>
      <c r="G491" s="228"/>
      <c r="H491" s="143"/>
      <c r="I491" s="136"/>
      <c r="J491" s="316"/>
      <c r="K491" s="137"/>
      <c r="L491" s="314"/>
      <c r="M491" s="226" t="s">
        <v>521</v>
      </c>
      <c r="N491" s="205" t="s">
        <v>788</v>
      </c>
      <c r="O491" s="206" t="s">
        <v>670</v>
      </c>
      <c r="P491" s="206" t="s">
        <v>670</v>
      </c>
      <c r="Q491" s="338"/>
      <c r="R491" s="206" t="s">
        <v>670</v>
      </c>
      <c r="S491" s="338"/>
      <c r="T491" s="206" t="s">
        <v>670</v>
      </c>
      <c r="U491" s="177"/>
      <c r="V491" s="206" t="s">
        <v>670</v>
      </c>
      <c r="W491" s="177"/>
      <c r="X491" s="206" t="s">
        <v>670</v>
      </c>
      <c r="Y491" s="177"/>
      <c r="Z491" s="206" t="s">
        <v>670</v>
      </c>
      <c r="AA491" s="178"/>
      <c r="AB491" s="316"/>
      <c r="AC491" s="155"/>
      <c r="AD491" s="155"/>
      <c r="AE491" s="156"/>
      <c r="AF491" s="157"/>
      <c r="AG491" s="297"/>
    </row>
    <row r="492" spans="1:33" s="72" customFormat="1" ht="66" x14ac:dyDescent="0.3">
      <c r="A492" s="269"/>
      <c r="B492" s="316"/>
      <c r="C492" s="316"/>
      <c r="D492" s="269"/>
      <c r="E492" s="143"/>
      <c r="F492" s="228"/>
      <c r="G492" s="228"/>
      <c r="H492" s="143"/>
      <c r="I492" s="136"/>
      <c r="J492" s="316"/>
      <c r="K492" s="137"/>
      <c r="L492" s="314"/>
      <c r="M492" s="226" t="s">
        <v>522</v>
      </c>
      <c r="N492" s="205" t="s">
        <v>789</v>
      </c>
      <c r="O492" s="206" t="s">
        <v>790</v>
      </c>
      <c r="P492" s="206" t="s">
        <v>790</v>
      </c>
      <c r="Q492" s="338"/>
      <c r="R492" s="206" t="s">
        <v>790</v>
      </c>
      <c r="S492" s="338"/>
      <c r="T492" s="206" t="s">
        <v>790</v>
      </c>
      <c r="U492" s="177"/>
      <c r="V492" s="206" t="s">
        <v>790</v>
      </c>
      <c r="W492" s="177"/>
      <c r="X492" s="206" t="s">
        <v>790</v>
      </c>
      <c r="Y492" s="177"/>
      <c r="Z492" s="206" t="s">
        <v>790</v>
      </c>
      <c r="AA492" s="178"/>
      <c r="AB492" s="316"/>
      <c r="AC492" s="155"/>
      <c r="AD492" s="155"/>
      <c r="AE492" s="156"/>
      <c r="AF492" s="157"/>
      <c r="AG492" s="297"/>
    </row>
    <row r="493" spans="1:33" s="72" customFormat="1" ht="82.5" x14ac:dyDescent="0.3">
      <c r="A493" s="269"/>
      <c r="B493" s="316"/>
      <c r="C493" s="316"/>
      <c r="D493" s="269"/>
      <c r="E493" s="143"/>
      <c r="F493" s="228"/>
      <c r="G493" s="228"/>
      <c r="H493" s="143"/>
      <c r="I493" s="136"/>
      <c r="J493" s="316"/>
      <c r="K493" s="137"/>
      <c r="L493" s="314"/>
      <c r="M493" s="226" t="s">
        <v>523</v>
      </c>
      <c r="N493" s="205" t="s">
        <v>791</v>
      </c>
      <c r="O493" s="206" t="s">
        <v>792</v>
      </c>
      <c r="P493" s="206" t="s">
        <v>792</v>
      </c>
      <c r="Q493" s="338"/>
      <c r="R493" s="206" t="s">
        <v>792</v>
      </c>
      <c r="S493" s="338"/>
      <c r="T493" s="206" t="s">
        <v>792</v>
      </c>
      <c r="U493" s="177"/>
      <c r="V493" s="206" t="s">
        <v>792</v>
      </c>
      <c r="W493" s="177"/>
      <c r="X493" s="206" t="s">
        <v>792</v>
      </c>
      <c r="Y493" s="177"/>
      <c r="Z493" s="206" t="s">
        <v>792</v>
      </c>
      <c r="AA493" s="178"/>
      <c r="AB493" s="316"/>
      <c r="AC493" s="155"/>
      <c r="AD493" s="155"/>
      <c r="AE493" s="156"/>
      <c r="AF493" s="157"/>
      <c r="AG493" s="297"/>
    </row>
    <row r="494" spans="1:33" s="72" customFormat="1" ht="33" x14ac:dyDescent="0.3">
      <c r="A494" s="269"/>
      <c r="B494" s="316"/>
      <c r="C494" s="316"/>
      <c r="D494" s="269"/>
      <c r="E494" s="143"/>
      <c r="F494" s="228"/>
      <c r="G494" s="228"/>
      <c r="H494" s="143"/>
      <c r="I494" s="136"/>
      <c r="J494" s="316"/>
      <c r="K494" s="137"/>
      <c r="L494" s="314"/>
      <c r="M494" s="226" t="s">
        <v>524</v>
      </c>
      <c r="N494" s="205" t="s">
        <v>793</v>
      </c>
      <c r="O494" s="206" t="s">
        <v>360</v>
      </c>
      <c r="P494" s="206" t="s">
        <v>360</v>
      </c>
      <c r="Q494" s="338"/>
      <c r="R494" s="206" t="s">
        <v>360</v>
      </c>
      <c r="S494" s="338"/>
      <c r="T494" s="206" t="s">
        <v>360</v>
      </c>
      <c r="U494" s="177"/>
      <c r="V494" s="206" t="s">
        <v>360</v>
      </c>
      <c r="W494" s="177"/>
      <c r="X494" s="206" t="s">
        <v>360</v>
      </c>
      <c r="Y494" s="177"/>
      <c r="Z494" s="206" t="s">
        <v>360</v>
      </c>
      <c r="AA494" s="178"/>
      <c r="AB494" s="316"/>
      <c r="AC494" s="155"/>
      <c r="AD494" s="155"/>
      <c r="AE494" s="156"/>
      <c r="AF494" s="157"/>
      <c r="AG494" s="297"/>
    </row>
    <row r="495" spans="1:33" s="72" customFormat="1" ht="82.5" x14ac:dyDescent="0.3">
      <c r="A495" s="269"/>
      <c r="B495" s="316"/>
      <c r="C495" s="316"/>
      <c r="D495" s="269"/>
      <c r="E495" s="143"/>
      <c r="F495" s="228"/>
      <c r="G495" s="228"/>
      <c r="H495" s="143"/>
      <c r="I495" s="136"/>
      <c r="J495" s="316"/>
      <c r="K495" s="137"/>
      <c r="L495" s="314"/>
      <c r="M495" s="226" t="s">
        <v>563</v>
      </c>
      <c r="N495" s="205" t="s">
        <v>794</v>
      </c>
      <c r="O495" s="206" t="s">
        <v>364</v>
      </c>
      <c r="P495" s="206" t="s">
        <v>364</v>
      </c>
      <c r="Q495" s="338"/>
      <c r="R495" s="206" t="s">
        <v>364</v>
      </c>
      <c r="S495" s="338"/>
      <c r="T495" s="206" t="s">
        <v>364</v>
      </c>
      <c r="U495" s="177"/>
      <c r="V495" s="206" t="s">
        <v>364</v>
      </c>
      <c r="W495" s="177"/>
      <c r="X495" s="206" t="s">
        <v>364</v>
      </c>
      <c r="Y495" s="177"/>
      <c r="Z495" s="206" t="s">
        <v>364</v>
      </c>
      <c r="AA495" s="178"/>
      <c r="AB495" s="316"/>
      <c r="AC495" s="155"/>
      <c r="AD495" s="155"/>
      <c r="AE495" s="156"/>
      <c r="AF495" s="157"/>
      <c r="AG495" s="297"/>
    </row>
    <row r="496" spans="1:33" s="72" customFormat="1" ht="49.5" x14ac:dyDescent="0.3">
      <c r="A496" s="269"/>
      <c r="B496" s="316"/>
      <c r="C496" s="316"/>
      <c r="D496" s="269"/>
      <c r="E496" s="143"/>
      <c r="F496" s="228"/>
      <c r="G496" s="228"/>
      <c r="H496" s="143"/>
      <c r="I496" s="136"/>
      <c r="J496" s="316"/>
      <c r="K496" s="158" t="s">
        <v>294</v>
      </c>
      <c r="L496" s="159" t="s">
        <v>291</v>
      </c>
      <c r="M496" s="226" t="s">
        <v>299</v>
      </c>
      <c r="N496" s="315" t="s">
        <v>676</v>
      </c>
      <c r="O496" s="316" t="s">
        <v>775</v>
      </c>
      <c r="P496" s="316" t="s">
        <v>775</v>
      </c>
      <c r="Q496" s="338"/>
      <c r="R496" s="316" t="s">
        <v>775</v>
      </c>
      <c r="S496" s="338"/>
      <c r="T496" s="316" t="s">
        <v>775</v>
      </c>
      <c r="U496" s="177"/>
      <c r="V496" s="316" t="s">
        <v>775</v>
      </c>
      <c r="W496" s="177"/>
      <c r="X496" s="316" t="s">
        <v>775</v>
      </c>
      <c r="Y496" s="177"/>
      <c r="Z496" s="316" t="s">
        <v>775</v>
      </c>
      <c r="AA496" s="178"/>
      <c r="AB496" s="316"/>
      <c r="AC496" s="155"/>
      <c r="AD496" s="155"/>
      <c r="AE496" s="156"/>
      <c r="AF496" s="157"/>
      <c r="AG496" s="297"/>
    </row>
    <row r="497" spans="1:33" s="72" customFormat="1" ht="82.5" x14ac:dyDescent="0.3">
      <c r="A497" s="269"/>
      <c r="B497" s="316"/>
      <c r="C497" s="316"/>
      <c r="D497" s="269"/>
      <c r="E497" s="143"/>
      <c r="F497" s="228"/>
      <c r="G497" s="228"/>
      <c r="H497" s="143"/>
      <c r="I497" s="136"/>
      <c r="J497" s="316"/>
      <c r="K497" s="158"/>
      <c r="L497" s="159"/>
      <c r="M497" s="226" t="s">
        <v>303</v>
      </c>
      <c r="N497" s="315" t="s">
        <v>795</v>
      </c>
      <c r="O497" s="206" t="s">
        <v>777</v>
      </c>
      <c r="P497" s="206" t="s">
        <v>777</v>
      </c>
      <c r="Q497" s="338"/>
      <c r="R497" s="206" t="s">
        <v>777</v>
      </c>
      <c r="S497" s="338"/>
      <c r="T497" s="206" t="s">
        <v>777</v>
      </c>
      <c r="U497" s="177"/>
      <c r="V497" s="206" t="s">
        <v>777</v>
      </c>
      <c r="W497" s="177"/>
      <c r="X497" s="206" t="s">
        <v>777</v>
      </c>
      <c r="Y497" s="177"/>
      <c r="Z497" s="206" t="s">
        <v>777</v>
      </c>
      <c r="AA497" s="178"/>
      <c r="AB497" s="316"/>
      <c r="AC497" s="155"/>
      <c r="AD497" s="155"/>
      <c r="AE497" s="156"/>
      <c r="AF497" s="157"/>
      <c r="AG497" s="297"/>
    </row>
    <row r="498" spans="1:33" s="72" customFormat="1" ht="66" x14ac:dyDescent="0.3">
      <c r="A498" s="269"/>
      <c r="B498" s="316"/>
      <c r="C498" s="316"/>
      <c r="D498" s="269"/>
      <c r="E498" s="143"/>
      <c r="F498" s="228"/>
      <c r="G498" s="228"/>
      <c r="H498" s="143"/>
      <c r="I498" s="136"/>
      <c r="J498" s="316"/>
      <c r="K498" s="158"/>
      <c r="L498" s="159"/>
      <c r="M498" s="226" t="s">
        <v>318</v>
      </c>
      <c r="N498" s="315" t="s">
        <v>678</v>
      </c>
      <c r="O498" s="316" t="s">
        <v>679</v>
      </c>
      <c r="P498" s="316" t="s">
        <v>679</v>
      </c>
      <c r="Q498" s="338"/>
      <c r="R498" s="316" t="s">
        <v>679</v>
      </c>
      <c r="S498" s="338"/>
      <c r="T498" s="316" t="s">
        <v>679</v>
      </c>
      <c r="U498" s="177"/>
      <c r="V498" s="316" t="s">
        <v>679</v>
      </c>
      <c r="W498" s="177"/>
      <c r="X498" s="316" t="s">
        <v>679</v>
      </c>
      <c r="Y498" s="177"/>
      <c r="Z498" s="316" t="s">
        <v>679</v>
      </c>
      <c r="AA498" s="178"/>
      <c r="AB498" s="316"/>
      <c r="AC498" s="155"/>
      <c r="AD498" s="155"/>
      <c r="AE498" s="156"/>
      <c r="AF498" s="157"/>
      <c r="AG498" s="297"/>
    </row>
    <row r="499" spans="1:33" s="72" customFormat="1" ht="33" x14ac:dyDescent="0.3">
      <c r="A499" s="269"/>
      <c r="B499" s="316"/>
      <c r="C499" s="316"/>
      <c r="D499" s="269"/>
      <c r="E499" s="143"/>
      <c r="F499" s="228"/>
      <c r="G499" s="228"/>
      <c r="H499" s="143"/>
      <c r="I499" s="136"/>
      <c r="J499" s="316"/>
      <c r="K499" s="158"/>
      <c r="L499" s="159"/>
      <c r="M499" s="226" t="s">
        <v>331</v>
      </c>
      <c r="N499" s="315" t="s">
        <v>680</v>
      </c>
      <c r="O499" s="316" t="s">
        <v>796</v>
      </c>
      <c r="P499" s="316" t="s">
        <v>796</v>
      </c>
      <c r="Q499" s="338"/>
      <c r="R499" s="316" t="s">
        <v>796</v>
      </c>
      <c r="S499" s="338"/>
      <c r="T499" s="316" t="s">
        <v>796</v>
      </c>
      <c r="U499" s="177"/>
      <c r="V499" s="316" t="s">
        <v>796</v>
      </c>
      <c r="W499" s="177"/>
      <c r="X499" s="316" t="s">
        <v>796</v>
      </c>
      <c r="Y499" s="177"/>
      <c r="Z499" s="316" t="s">
        <v>796</v>
      </c>
      <c r="AA499" s="178"/>
      <c r="AB499" s="316"/>
      <c r="AC499" s="155"/>
      <c r="AD499" s="155"/>
      <c r="AE499" s="156"/>
      <c r="AF499" s="157"/>
      <c r="AG499" s="297"/>
    </row>
    <row r="500" spans="1:33" s="72" customFormat="1" ht="49.5" x14ac:dyDescent="0.3">
      <c r="A500" s="269"/>
      <c r="B500" s="316"/>
      <c r="C500" s="316"/>
      <c r="D500" s="269"/>
      <c r="E500" s="143"/>
      <c r="F500" s="228"/>
      <c r="G500" s="228"/>
      <c r="H500" s="143"/>
      <c r="I500" s="136"/>
      <c r="J500" s="316"/>
      <c r="K500" s="158"/>
      <c r="L500" s="159"/>
      <c r="M500" s="226" t="s">
        <v>353</v>
      </c>
      <c r="N500" s="315" t="s">
        <v>797</v>
      </c>
      <c r="O500" s="316" t="s">
        <v>783</v>
      </c>
      <c r="P500" s="316" t="s">
        <v>783</v>
      </c>
      <c r="Q500" s="338"/>
      <c r="R500" s="316" t="s">
        <v>783</v>
      </c>
      <c r="S500" s="338"/>
      <c r="T500" s="316" t="s">
        <v>783</v>
      </c>
      <c r="U500" s="177"/>
      <c r="V500" s="316" t="s">
        <v>783</v>
      </c>
      <c r="W500" s="177"/>
      <c r="X500" s="316" t="s">
        <v>783</v>
      </c>
      <c r="Y500" s="177"/>
      <c r="Z500" s="316" t="s">
        <v>783</v>
      </c>
      <c r="AA500" s="178"/>
      <c r="AB500" s="316"/>
      <c r="AC500" s="155"/>
      <c r="AD500" s="155"/>
      <c r="AE500" s="156"/>
      <c r="AF500" s="157"/>
      <c r="AG500" s="297"/>
    </row>
    <row r="501" spans="1:33" s="72" customFormat="1" ht="82.5" x14ac:dyDescent="0.3">
      <c r="A501" s="269"/>
      <c r="B501" s="316"/>
      <c r="C501" s="316"/>
      <c r="D501" s="269"/>
      <c r="E501" s="143"/>
      <c r="F501" s="228"/>
      <c r="G501" s="228"/>
      <c r="H501" s="143"/>
      <c r="I501" s="136"/>
      <c r="J501" s="316"/>
      <c r="K501" s="158"/>
      <c r="L501" s="159"/>
      <c r="M501" s="226" t="s">
        <v>352</v>
      </c>
      <c r="N501" s="315" t="s">
        <v>571</v>
      </c>
      <c r="O501" s="316" t="s">
        <v>543</v>
      </c>
      <c r="P501" s="316" t="s">
        <v>543</v>
      </c>
      <c r="Q501" s="338"/>
      <c r="R501" s="316" t="s">
        <v>543</v>
      </c>
      <c r="S501" s="338"/>
      <c r="T501" s="316" t="s">
        <v>543</v>
      </c>
      <c r="U501" s="177"/>
      <c r="V501" s="316" t="s">
        <v>543</v>
      </c>
      <c r="W501" s="177"/>
      <c r="X501" s="316" t="s">
        <v>543</v>
      </c>
      <c r="Y501" s="177"/>
      <c r="Z501" s="316" t="s">
        <v>543</v>
      </c>
      <c r="AA501" s="178"/>
      <c r="AB501" s="316"/>
      <c r="AC501" s="155"/>
      <c r="AD501" s="155"/>
      <c r="AE501" s="156"/>
      <c r="AF501" s="157"/>
      <c r="AG501" s="297"/>
    </row>
    <row r="502" spans="1:33" s="72" customFormat="1" ht="33" x14ac:dyDescent="0.3">
      <c r="A502" s="269"/>
      <c r="B502" s="316"/>
      <c r="C502" s="316"/>
      <c r="D502" s="269"/>
      <c r="E502" s="143"/>
      <c r="F502" s="228"/>
      <c r="G502" s="228"/>
      <c r="H502" s="143"/>
      <c r="I502" s="136"/>
      <c r="J502" s="316"/>
      <c r="K502" s="158"/>
      <c r="L502" s="159"/>
      <c r="M502" s="226" t="s">
        <v>402</v>
      </c>
      <c r="N502" s="315" t="s">
        <v>683</v>
      </c>
      <c r="O502" s="206" t="s">
        <v>785</v>
      </c>
      <c r="P502" s="206" t="s">
        <v>785</v>
      </c>
      <c r="Q502" s="338"/>
      <c r="R502" s="206" t="s">
        <v>785</v>
      </c>
      <c r="S502" s="338"/>
      <c r="T502" s="206" t="s">
        <v>785</v>
      </c>
      <c r="U502" s="177"/>
      <c r="V502" s="206" t="s">
        <v>785</v>
      </c>
      <c r="W502" s="177"/>
      <c r="X502" s="206" t="s">
        <v>785</v>
      </c>
      <c r="Y502" s="177"/>
      <c r="Z502" s="206" t="s">
        <v>785</v>
      </c>
      <c r="AA502" s="178"/>
      <c r="AB502" s="316"/>
      <c r="AC502" s="155"/>
      <c r="AD502" s="155"/>
      <c r="AE502" s="156"/>
      <c r="AF502" s="157"/>
      <c r="AG502" s="297"/>
    </row>
    <row r="503" spans="1:33" s="72" customFormat="1" ht="66" x14ac:dyDescent="0.3">
      <c r="A503" s="269"/>
      <c r="B503" s="316"/>
      <c r="C503" s="316"/>
      <c r="D503" s="269"/>
      <c r="E503" s="143"/>
      <c r="F503" s="228"/>
      <c r="G503" s="228"/>
      <c r="H503" s="143"/>
      <c r="I503" s="136"/>
      <c r="J503" s="316"/>
      <c r="K503" s="158"/>
      <c r="L503" s="159"/>
      <c r="M503" s="226" t="s">
        <v>453</v>
      </c>
      <c r="N503" s="315" t="s">
        <v>798</v>
      </c>
      <c r="O503" s="206" t="s">
        <v>670</v>
      </c>
      <c r="P503" s="206" t="s">
        <v>670</v>
      </c>
      <c r="Q503" s="338"/>
      <c r="R503" s="206" t="s">
        <v>670</v>
      </c>
      <c r="S503" s="338"/>
      <c r="T503" s="206" t="s">
        <v>670</v>
      </c>
      <c r="U503" s="177"/>
      <c r="V503" s="206" t="s">
        <v>670</v>
      </c>
      <c r="W503" s="177"/>
      <c r="X503" s="206" t="s">
        <v>670</v>
      </c>
      <c r="Y503" s="177"/>
      <c r="Z503" s="206" t="s">
        <v>670</v>
      </c>
      <c r="AA503" s="178"/>
      <c r="AB503" s="316"/>
      <c r="AC503" s="155"/>
      <c r="AD503" s="155"/>
      <c r="AE503" s="156"/>
      <c r="AF503" s="157"/>
      <c r="AG503" s="297"/>
    </row>
    <row r="504" spans="1:33" s="72" customFormat="1" ht="33" x14ac:dyDescent="0.3">
      <c r="A504" s="269"/>
      <c r="B504" s="316"/>
      <c r="C504" s="316"/>
      <c r="D504" s="269"/>
      <c r="E504" s="143"/>
      <c r="F504" s="228"/>
      <c r="G504" s="228"/>
      <c r="H504" s="143"/>
      <c r="I504" s="136"/>
      <c r="J504" s="316"/>
      <c r="K504" s="158"/>
      <c r="L504" s="159"/>
      <c r="M504" s="226" t="s">
        <v>454</v>
      </c>
      <c r="N504" s="315" t="s">
        <v>683</v>
      </c>
      <c r="O504" s="206" t="s">
        <v>670</v>
      </c>
      <c r="P504" s="206" t="s">
        <v>670</v>
      </c>
      <c r="Q504" s="338"/>
      <c r="R504" s="206" t="s">
        <v>670</v>
      </c>
      <c r="S504" s="338"/>
      <c r="T504" s="206" t="s">
        <v>670</v>
      </c>
      <c r="U504" s="177"/>
      <c r="V504" s="206" t="s">
        <v>670</v>
      </c>
      <c r="W504" s="177"/>
      <c r="X504" s="206" t="s">
        <v>670</v>
      </c>
      <c r="Y504" s="177"/>
      <c r="Z504" s="206" t="s">
        <v>670</v>
      </c>
      <c r="AA504" s="178"/>
      <c r="AB504" s="316"/>
      <c r="AC504" s="155"/>
      <c r="AD504" s="155"/>
      <c r="AE504" s="156"/>
      <c r="AF504" s="157"/>
      <c r="AG504" s="297"/>
    </row>
    <row r="505" spans="1:33" s="72" customFormat="1" ht="33" x14ac:dyDescent="0.3">
      <c r="A505" s="269"/>
      <c r="B505" s="316"/>
      <c r="C505" s="316"/>
      <c r="D505" s="269"/>
      <c r="E505" s="143"/>
      <c r="F505" s="228"/>
      <c r="G505" s="228"/>
      <c r="H505" s="143"/>
      <c r="I505" s="136"/>
      <c r="J505" s="316"/>
      <c r="K505" s="158"/>
      <c r="L505" s="159"/>
      <c r="M505" s="226" t="s">
        <v>521</v>
      </c>
      <c r="N505" s="315" t="s">
        <v>799</v>
      </c>
      <c r="O505" s="206" t="s">
        <v>670</v>
      </c>
      <c r="P505" s="206" t="s">
        <v>670</v>
      </c>
      <c r="Q505" s="338"/>
      <c r="R505" s="206" t="s">
        <v>670</v>
      </c>
      <c r="S505" s="338"/>
      <c r="T505" s="206" t="s">
        <v>670</v>
      </c>
      <c r="U505" s="177"/>
      <c r="V505" s="206" t="s">
        <v>670</v>
      </c>
      <c r="W505" s="177"/>
      <c r="X505" s="206" t="s">
        <v>670</v>
      </c>
      <c r="Y505" s="177"/>
      <c r="Z505" s="206" t="s">
        <v>670</v>
      </c>
      <c r="AA505" s="178"/>
      <c r="AB505" s="316"/>
      <c r="AC505" s="155"/>
      <c r="AD505" s="155"/>
      <c r="AE505" s="156"/>
      <c r="AF505" s="157"/>
      <c r="AG505" s="297"/>
    </row>
    <row r="506" spans="1:33" s="72" customFormat="1" ht="33" x14ac:dyDescent="0.3">
      <c r="A506" s="269"/>
      <c r="B506" s="316"/>
      <c r="C506" s="316"/>
      <c r="D506" s="269"/>
      <c r="E506" s="143"/>
      <c r="F506" s="143"/>
      <c r="G506" s="143"/>
      <c r="H506" s="143"/>
      <c r="I506" s="143"/>
      <c r="J506" s="316"/>
      <c r="K506" s="158"/>
      <c r="L506" s="159"/>
      <c r="M506" s="226" t="s">
        <v>522</v>
      </c>
      <c r="N506" s="315" t="s">
        <v>799</v>
      </c>
      <c r="O506" s="206" t="s">
        <v>790</v>
      </c>
      <c r="P506" s="206" t="s">
        <v>790</v>
      </c>
      <c r="Q506" s="338"/>
      <c r="R506" s="206" t="s">
        <v>790</v>
      </c>
      <c r="S506" s="338"/>
      <c r="T506" s="206" t="s">
        <v>790</v>
      </c>
      <c r="U506" s="177"/>
      <c r="V506" s="206" t="s">
        <v>790</v>
      </c>
      <c r="W506" s="177"/>
      <c r="X506" s="206" t="s">
        <v>790</v>
      </c>
      <c r="Y506" s="177"/>
      <c r="Z506" s="206" t="s">
        <v>790</v>
      </c>
      <c r="AA506" s="178"/>
      <c r="AB506" s="316"/>
      <c r="AC506" s="155"/>
      <c r="AD506" s="155"/>
      <c r="AE506" s="156"/>
      <c r="AF506" s="157"/>
      <c r="AG506" s="297"/>
    </row>
    <row r="507" spans="1:33" s="72" customFormat="1" ht="49.5" x14ac:dyDescent="0.3">
      <c r="A507" s="269"/>
      <c r="B507" s="316"/>
      <c r="C507" s="316"/>
      <c r="D507" s="269"/>
      <c r="E507" s="143"/>
      <c r="F507" s="228"/>
      <c r="G507" s="228"/>
      <c r="H507" s="143"/>
      <c r="I507" s="143"/>
      <c r="J507" s="316"/>
      <c r="K507" s="158"/>
      <c r="L507" s="159"/>
      <c r="M507" s="226" t="s">
        <v>523</v>
      </c>
      <c r="N507" s="315" t="s">
        <v>687</v>
      </c>
      <c r="O507" s="196" t="s">
        <v>431</v>
      </c>
      <c r="P507" s="196" t="s">
        <v>431</v>
      </c>
      <c r="Q507" s="338"/>
      <c r="R507" s="196" t="s">
        <v>431</v>
      </c>
      <c r="S507" s="338"/>
      <c r="T507" s="196" t="s">
        <v>431</v>
      </c>
      <c r="U507" s="177"/>
      <c r="V507" s="196" t="s">
        <v>431</v>
      </c>
      <c r="W507" s="177"/>
      <c r="X507" s="196" t="s">
        <v>431</v>
      </c>
      <c r="Y507" s="177"/>
      <c r="Z507" s="196" t="s">
        <v>431</v>
      </c>
      <c r="AA507" s="178"/>
      <c r="AB507" s="316"/>
      <c r="AC507" s="155"/>
      <c r="AD507" s="155"/>
      <c r="AE507" s="156"/>
      <c r="AF507" s="157"/>
      <c r="AG507" s="297"/>
    </row>
    <row r="508" spans="1:33" s="72" customFormat="1" ht="33" x14ac:dyDescent="0.3">
      <c r="A508" s="269"/>
      <c r="B508" s="316"/>
      <c r="C508" s="316"/>
      <c r="D508" s="269"/>
      <c r="E508" s="143"/>
      <c r="F508" s="228"/>
      <c r="G508" s="228"/>
      <c r="H508" s="143"/>
      <c r="I508" s="143"/>
      <c r="J508" s="316"/>
      <c r="K508" s="158"/>
      <c r="L508" s="159"/>
      <c r="M508" s="226" t="s">
        <v>524</v>
      </c>
      <c r="N508" s="315" t="s">
        <v>800</v>
      </c>
      <c r="O508" s="316" t="s">
        <v>360</v>
      </c>
      <c r="P508" s="316" t="s">
        <v>360</v>
      </c>
      <c r="Q508" s="338"/>
      <c r="R508" s="316" t="s">
        <v>360</v>
      </c>
      <c r="S508" s="338"/>
      <c r="T508" s="316" t="s">
        <v>360</v>
      </c>
      <c r="U508" s="177"/>
      <c r="V508" s="316" t="s">
        <v>360</v>
      </c>
      <c r="W508" s="177"/>
      <c r="X508" s="316" t="s">
        <v>360</v>
      </c>
      <c r="Y508" s="177"/>
      <c r="Z508" s="316" t="s">
        <v>360</v>
      </c>
      <c r="AA508" s="178"/>
      <c r="AB508" s="316"/>
      <c r="AC508" s="155"/>
      <c r="AD508" s="155"/>
      <c r="AE508" s="156"/>
      <c r="AF508" s="157"/>
      <c r="AG508" s="297"/>
    </row>
    <row r="509" spans="1:33" s="72" customFormat="1" ht="33" x14ac:dyDescent="0.3">
      <c r="A509" s="269"/>
      <c r="B509" s="316"/>
      <c r="C509" s="316"/>
      <c r="D509" s="269"/>
      <c r="E509" s="143"/>
      <c r="F509" s="228"/>
      <c r="G509" s="228"/>
      <c r="H509" s="143"/>
      <c r="I509" s="143"/>
      <c r="J509" s="316"/>
      <c r="K509" s="158"/>
      <c r="L509" s="159"/>
      <c r="M509" s="226" t="s">
        <v>563</v>
      </c>
      <c r="N509" s="315" t="s">
        <v>688</v>
      </c>
      <c r="O509" s="316" t="s">
        <v>364</v>
      </c>
      <c r="P509" s="316" t="s">
        <v>364</v>
      </c>
      <c r="Q509" s="338"/>
      <c r="R509" s="316" t="s">
        <v>364</v>
      </c>
      <c r="S509" s="338"/>
      <c r="T509" s="316" t="s">
        <v>364</v>
      </c>
      <c r="U509" s="177"/>
      <c r="V509" s="316" t="s">
        <v>364</v>
      </c>
      <c r="W509" s="177"/>
      <c r="X509" s="316" t="s">
        <v>364</v>
      </c>
      <c r="Y509" s="177"/>
      <c r="Z509" s="316" t="s">
        <v>364</v>
      </c>
      <c r="AA509" s="178"/>
      <c r="AB509" s="316"/>
      <c r="AC509" s="155"/>
      <c r="AD509" s="155"/>
      <c r="AE509" s="156"/>
      <c r="AF509" s="157"/>
      <c r="AG509" s="297"/>
    </row>
    <row r="510" spans="1:33" s="72" customFormat="1" ht="33" x14ac:dyDescent="0.3">
      <c r="A510" s="269"/>
      <c r="B510" s="316"/>
      <c r="C510" s="316"/>
      <c r="D510" s="269"/>
      <c r="E510" s="143"/>
      <c r="F510" s="143"/>
      <c r="G510" s="143"/>
      <c r="H510" s="143"/>
      <c r="I510" s="143"/>
      <c r="J510" s="316"/>
      <c r="K510" s="137" t="s">
        <v>295</v>
      </c>
      <c r="L510" s="314" t="s">
        <v>291</v>
      </c>
      <c r="M510" s="519" t="s">
        <v>689</v>
      </c>
      <c r="N510" s="520"/>
      <c r="O510" s="137"/>
      <c r="P510" s="137"/>
      <c r="Q510" s="338"/>
      <c r="R510" s="137"/>
      <c r="S510" s="338"/>
      <c r="T510" s="137"/>
      <c r="U510" s="177"/>
      <c r="V510" s="137"/>
      <c r="W510" s="177"/>
      <c r="X510" s="137"/>
      <c r="Y510" s="177"/>
      <c r="Z510" s="137"/>
      <c r="AA510" s="178"/>
      <c r="AB510" s="316"/>
      <c r="AC510" s="219"/>
      <c r="AD510" s="155"/>
      <c r="AE510" s="156"/>
      <c r="AF510" s="157"/>
      <c r="AG510" s="305"/>
    </row>
    <row r="511" spans="1:33" s="72" customFormat="1" ht="33" x14ac:dyDescent="0.3">
      <c r="A511" s="269"/>
      <c r="B511" s="179"/>
      <c r="C511" s="179"/>
      <c r="D511" s="298"/>
      <c r="E511" s="180"/>
      <c r="F511" s="180"/>
      <c r="G511" s="180"/>
      <c r="H511" s="180"/>
      <c r="I511" s="180"/>
      <c r="J511" s="179"/>
      <c r="K511" s="183" t="s">
        <v>297</v>
      </c>
      <c r="L511" s="182" t="s">
        <v>291</v>
      </c>
      <c r="M511" s="230" t="s">
        <v>501</v>
      </c>
      <c r="N511" s="227"/>
      <c r="O511" s="183"/>
      <c r="P511" s="183"/>
      <c r="Q511" s="342"/>
      <c r="R511" s="183"/>
      <c r="S511" s="342"/>
      <c r="T511" s="179"/>
      <c r="U511" s="358"/>
      <c r="V511" s="179"/>
      <c r="W511" s="358"/>
      <c r="X511" s="179"/>
      <c r="Y511" s="358"/>
      <c r="Z511" s="179"/>
      <c r="AA511" s="354"/>
      <c r="AB511" s="306"/>
      <c r="AC511" s="187"/>
      <c r="AD511" s="187"/>
      <c r="AE511" s="188"/>
      <c r="AF511" s="189"/>
      <c r="AG511" s="299"/>
    </row>
    <row r="512" spans="1:33" s="72" customFormat="1" x14ac:dyDescent="0.3">
      <c r="A512" s="269"/>
      <c r="B512" s="316"/>
      <c r="C512" s="316"/>
      <c r="D512" s="269"/>
      <c r="E512" s="143"/>
      <c r="F512" s="143"/>
      <c r="G512" s="143"/>
      <c r="H512" s="143"/>
      <c r="I512" s="143"/>
      <c r="J512" s="316"/>
      <c r="K512" s="158"/>
      <c r="L512" s="159"/>
      <c r="M512" s="159"/>
      <c r="N512" s="315"/>
      <c r="O512" s="316"/>
      <c r="P512" s="316"/>
      <c r="Q512" s="338"/>
      <c r="R512" s="316"/>
      <c r="S512" s="338"/>
      <c r="T512" s="316"/>
      <c r="U512" s="177"/>
      <c r="V512" s="316"/>
      <c r="W512" s="177"/>
      <c r="X512" s="316"/>
      <c r="Y512" s="177"/>
      <c r="Z512" s="316"/>
      <c r="AA512" s="178"/>
      <c r="AB512" s="316"/>
      <c r="AC512" s="155"/>
      <c r="AD512" s="155"/>
      <c r="AE512" s="156"/>
      <c r="AF512" s="157"/>
      <c r="AG512" s="297"/>
    </row>
    <row r="513" spans="1:33" s="72" customFormat="1" ht="33" x14ac:dyDescent="0.3">
      <c r="A513" s="269"/>
      <c r="B513" s="316"/>
      <c r="C513" s="316"/>
      <c r="D513" s="269"/>
      <c r="E513" s="143">
        <v>1</v>
      </c>
      <c r="F513" s="228" t="s">
        <v>131</v>
      </c>
      <c r="G513" s="228" t="s">
        <v>131</v>
      </c>
      <c r="H513" s="143">
        <v>12</v>
      </c>
      <c r="I513" s="136">
        <v>4</v>
      </c>
      <c r="J513" s="316" t="s">
        <v>391</v>
      </c>
      <c r="K513" s="158" t="s">
        <v>290</v>
      </c>
      <c r="L513" s="159" t="s">
        <v>291</v>
      </c>
      <c r="M513" s="514" t="s">
        <v>312</v>
      </c>
      <c r="N513" s="515"/>
      <c r="O513" s="316" t="s">
        <v>301</v>
      </c>
      <c r="P513" s="316" t="s">
        <v>301</v>
      </c>
      <c r="Q513" s="338">
        <v>840740000</v>
      </c>
      <c r="R513" s="316" t="s">
        <v>301</v>
      </c>
      <c r="S513" s="334">
        <f>Q513+(Q513*10%)</f>
        <v>924814000</v>
      </c>
      <c r="T513" s="316" t="s">
        <v>301</v>
      </c>
      <c r="U513" s="334">
        <f>S513+(S513*10%)-400</f>
        <v>1017295000</v>
      </c>
      <c r="V513" s="316" t="s">
        <v>301</v>
      </c>
      <c r="W513" s="334">
        <f>U513+(U513*10%)-500</f>
        <v>1119024000</v>
      </c>
      <c r="X513" s="316" t="s">
        <v>301</v>
      </c>
      <c r="Y513" s="334">
        <f>W513+(W513*10%)-400</f>
        <v>1230926000</v>
      </c>
      <c r="Z513" s="316" t="s">
        <v>301</v>
      </c>
      <c r="AA513" s="178">
        <f>Y513+W513+U513+S513+Q513</f>
        <v>5132799000</v>
      </c>
      <c r="AB513" s="316" t="s">
        <v>66</v>
      </c>
      <c r="AC513" s="155"/>
      <c r="AD513" s="155"/>
      <c r="AE513" s="156"/>
      <c r="AF513" s="157"/>
      <c r="AG513" s="316" t="s">
        <v>66</v>
      </c>
    </row>
    <row r="514" spans="1:33" s="72" customFormat="1" ht="66" x14ac:dyDescent="0.3">
      <c r="A514" s="269"/>
      <c r="B514" s="316"/>
      <c r="C514" s="314"/>
      <c r="D514" s="297"/>
      <c r="E514" s="143"/>
      <c r="F514" s="228"/>
      <c r="G514" s="228"/>
      <c r="H514" s="143"/>
      <c r="I514" s="136"/>
      <c r="J514" s="316"/>
      <c r="K514" s="158" t="s">
        <v>293</v>
      </c>
      <c r="L514" s="159" t="s">
        <v>291</v>
      </c>
      <c r="M514" s="160" t="s">
        <v>299</v>
      </c>
      <c r="N514" s="315" t="s">
        <v>801</v>
      </c>
      <c r="O514" s="316" t="s">
        <v>802</v>
      </c>
      <c r="P514" s="316" t="s">
        <v>802</v>
      </c>
      <c r="Q514" s="338"/>
      <c r="R514" s="316" t="s">
        <v>802</v>
      </c>
      <c r="S514" s="338"/>
      <c r="T514" s="316" t="s">
        <v>802</v>
      </c>
      <c r="U514" s="177"/>
      <c r="V514" s="316" t="s">
        <v>802</v>
      </c>
      <c r="W514" s="177"/>
      <c r="X514" s="316" t="s">
        <v>802</v>
      </c>
      <c r="Y514" s="177"/>
      <c r="Z514" s="316" t="s">
        <v>802</v>
      </c>
      <c r="AA514" s="178"/>
      <c r="AB514" s="316"/>
      <c r="AC514" s="155"/>
      <c r="AD514" s="155"/>
      <c r="AE514" s="156"/>
      <c r="AF514" s="157"/>
      <c r="AG514" s="297"/>
    </row>
    <row r="515" spans="1:33" s="72" customFormat="1" ht="99" x14ac:dyDescent="0.3">
      <c r="A515" s="269"/>
      <c r="B515" s="316"/>
      <c r="C515" s="314"/>
      <c r="D515" s="297"/>
      <c r="E515" s="143"/>
      <c r="F515" s="228"/>
      <c r="G515" s="228"/>
      <c r="H515" s="143"/>
      <c r="I515" s="136"/>
      <c r="J515" s="316"/>
      <c r="K515" s="158"/>
      <c r="L515" s="159"/>
      <c r="M515" s="160" t="s">
        <v>303</v>
      </c>
      <c r="N515" s="205" t="s">
        <v>803</v>
      </c>
      <c r="O515" s="206" t="s">
        <v>804</v>
      </c>
      <c r="P515" s="206" t="s">
        <v>804</v>
      </c>
      <c r="Q515" s="338"/>
      <c r="R515" s="206" t="s">
        <v>804</v>
      </c>
      <c r="S515" s="338"/>
      <c r="T515" s="206" t="s">
        <v>804</v>
      </c>
      <c r="U515" s="177"/>
      <c r="V515" s="206" t="s">
        <v>804</v>
      </c>
      <c r="W515" s="177"/>
      <c r="X515" s="206" t="s">
        <v>804</v>
      </c>
      <c r="Y515" s="177"/>
      <c r="Z515" s="206" t="s">
        <v>804</v>
      </c>
      <c r="AA515" s="178"/>
      <c r="AB515" s="316"/>
      <c r="AC515" s="155"/>
      <c r="AD515" s="155"/>
      <c r="AE515" s="156"/>
      <c r="AF515" s="157"/>
      <c r="AG515" s="297"/>
    </row>
    <row r="516" spans="1:33" s="72" customFormat="1" ht="49.5" x14ac:dyDescent="0.3">
      <c r="A516" s="269"/>
      <c r="B516" s="316"/>
      <c r="C516" s="314"/>
      <c r="D516" s="297"/>
      <c r="E516" s="143"/>
      <c r="F516" s="228"/>
      <c r="G516" s="228"/>
      <c r="H516" s="143"/>
      <c r="I516" s="136"/>
      <c r="J516" s="316"/>
      <c r="K516" s="158"/>
      <c r="L516" s="159"/>
      <c r="M516" s="160" t="s">
        <v>318</v>
      </c>
      <c r="N516" s="205" t="s">
        <v>805</v>
      </c>
      <c r="O516" s="206" t="s">
        <v>806</v>
      </c>
      <c r="P516" s="206" t="s">
        <v>806</v>
      </c>
      <c r="Q516" s="338"/>
      <c r="R516" s="206" t="s">
        <v>806</v>
      </c>
      <c r="S516" s="338"/>
      <c r="T516" s="206" t="s">
        <v>806</v>
      </c>
      <c r="U516" s="177"/>
      <c r="V516" s="206" t="s">
        <v>806</v>
      </c>
      <c r="W516" s="177"/>
      <c r="X516" s="206" t="s">
        <v>806</v>
      </c>
      <c r="Y516" s="177"/>
      <c r="Z516" s="206" t="s">
        <v>806</v>
      </c>
      <c r="AA516" s="178"/>
      <c r="AB516" s="316"/>
      <c r="AC516" s="155"/>
      <c r="AD516" s="155"/>
      <c r="AE516" s="156"/>
      <c r="AF516" s="157"/>
      <c r="AG516" s="297"/>
    </row>
    <row r="517" spans="1:33" s="72" customFormat="1" ht="66" x14ac:dyDescent="0.3">
      <c r="A517" s="269"/>
      <c r="B517" s="316"/>
      <c r="C517" s="314"/>
      <c r="D517" s="297"/>
      <c r="E517" s="143"/>
      <c r="F517" s="228"/>
      <c r="G517" s="228"/>
      <c r="H517" s="143"/>
      <c r="I517" s="136"/>
      <c r="J517" s="316"/>
      <c r="K517" s="158"/>
      <c r="L517" s="159"/>
      <c r="M517" s="160" t="s">
        <v>331</v>
      </c>
      <c r="N517" s="205" t="s">
        <v>807</v>
      </c>
      <c r="O517" s="206" t="s">
        <v>808</v>
      </c>
      <c r="P517" s="206" t="s">
        <v>808</v>
      </c>
      <c r="Q517" s="338"/>
      <c r="R517" s="206" t="s">
        <v>808</v>
      </c>
      <c r="S517" s="338"/>
      <c r="T517" s="206" t="s">
        <v>808</v>
      </c>
      <c r="U517" s="177"/>
      <c r="V517" s="206" t="s">
        <v>808</v>
      </c>
      <c r="W517" s="177"/>
      <c r="X517" s="206" t="s">
        <v>808</v>
      </c>
      <c r="Y517" s="177"/>
      <c r="Z517" s="206" t="s">
        <v>808</v>
      </c>
      <c r="AA517" s="178"/>
      <c r="AB517" s="316"/>
      <c r="AC517" s="155"/>
      <c r="AD517" s="155"/>
      <c r="AE517" s="156"/>
      <c r="AF517" s="157"/>
      <c r="AG517" s="297"/>
    </row>
    <row r="518" spans="1:33" s="72" customFormat="1" ht="132" x14ac:dyDescent="0.3">
      <c r="A518" s="269"/>
      <c r="B518" s="316"/>
      <c r="C518" s="314"/>
      <c r="D518" s="297"/>
      <c r="E518" s="143"/>
      <c r="F518" s="228"/>
      <c r="G518" s="228"/>
      <c r="H518" s="143"/>
      <c r="I518" s="136"/>
      <c r="J518" s="316"/>
      <c r="K518" s="158"/>
      <c r="L518" s="159"/>
      <c r="M518" s="160" t="s">
        <v>353</v>
      </c>
      <c r="N518" s="205" t="s">
        <v>809</v>
      </c>
      <c r="O518" s="316">
        <f>(2*107)+(2*29)+(2*24)+(2*6)+(2*43)</f>
        <v>418</v>
      </c>
      <c r="P518" s="316">
        <f>(2*107)+(2*29)+(2*24)+(2*6)+(2*43)</f>
        <v>418</v>
      </c>
      <c r="Q518" s="338"/>
      <c r="R518" s="316">
        <f>(2*107)+(2*29)+(2*24)+(2*6)+(2*43)</f>
        <v>418</v>
      </c>
      <c r="S518" s="338"/>
      <c r="T518" s="316">
        <f>(2*107)+(2*29)+(2*24)+(2*6)+(2*43)</f>
        <v>418</v>
      </c>
      <c r="U518" s="177"/>
      <c r="V518" s="316">
        <f>(2*107)+(2*29)+(2*24)+(2*6)+(2*43)</f>
        <v>418</v>
      </c>
      <c r="W518" s="177"/>
      <c r="X518" s="316">
        <f>(2*107)+(2*29)+(2*24)+(2*6)+(2*43)</f>
        <v>418</v>
      </c>
      <c r="Y518" s="177"/>
      <c r="Z518" s="316">
        <f>(2*107)+(2*29)+(2*24)+(2*6)+(2*43)</f>
        <v>418</v>
      </c>
      <c r="AA518" s="178"/>
      <c r="AB518" s="316"/>
      <c r="AC518" s="155"/>
      <c r="AD518" s="155"/>
      <c r="AE518" s="156"/>
      <c r="AF518" s="157"/>
      <c r="AG518" s="297"/>
    </row>
    <row r="519" spans="1:33" s="72" customFormat="1" ht="49.5" x14ac:dyDescent="0.3">
      <c r="A519" s="269"/>
      <c r="B519" s="316"/>
      <c r="C519" s="314"/>
      <c r="D519" s="297"/>
      <c r="E519" s="143"/>
      <c r="F519" s="228"/>
      <c r="G519" s="228"/>
      <c r="H519" s="143"/>
      <c r="I519" s="136"/>
      <c r="J519" s="316"/>
      <c r="K519" s="158"/>
      <c r="L519" s="159"/>
      <c r="M519" s="160" t="s">
        <v>352</v>
      </c>
      <c r="N519" s="205" t="s">
        <v>810</v>
      </c>
      <c r="O519" s="316" t="s">
        <v>811</v>
      </c>
      <c r="P519" s="316" t="s">
        <v>811</v>
      </c>
      <c r="Q519" s="338"/>
      <c r="R519" s="316" t="s">
        <v>811</v>
      </c>
      <c r="S519" s="338"/>
      <c r="T519" s="316" t="s">
        <v>811</v>
      </c>
      <c r="U519" s="177"/>
      <c r="V519" s="316" t="s">
        <v>811</v>
      </c>
      <c r="W519" s="177"/>
      <c r="X519" s="316" t="s">
        <v>811</v>
      </c>
      <c r="Y519" s="177"/>
      <c r="Z519" s="316" t="s">
        <v>811</v>
      </c>
      <c r="AA519" s="178"/>
      <c r="AB519" s="316"/>
      <c r="AC519" s="155"/>
      <c r="AD519" s="155"/>
      <c r="AE519" s="156"/>
      <c r="AF519" s="157"/>
      <c r="AG519" s="297"/>
    </row>
    <row r="520" spans="1:33" s="72" customFormat="1" ht="66" x14ac:dyDescent="0.3">
      <c r="A520" s="269"/>
      <c r="B520" s="316"/>
      <c r="C520" s="314"/>
      <c r="D520" s="297"/>
      <c r="E520" s="143"/>
      <c r="F520" s="228"/>
      <c r="G520" s="228"/>
      <c r="H520" s="143"/>
      <c r="I520" s="136"/>
      <c r="J520" s="316"/>
      <c r="K520" s="137"/>
      <c r="L520" s="314"/>
      <c r="M520" s="226" t="s">
        <v>402</v>
      </c>
      <c r="N520" s="205" t="s">
        <v>812</v>
      </c>
      <c r="O520" s="206" t="s">
        <v>705</v>
      </c>
      <c r="P520" s="206" t="s">
        <v>705</v>
      </c>
      <c r="Q520" s="338"/>
      <c r="R520" s="206" t="s">
        <v>705</v>
      </c>
      <c r="S520" s="338"/>
      <c r="T520" s="206" t="s">
        <v>705</v>
      </c>
      <c r="U520" s="177"/>
      <c r="V520" s="206" t="s">
        <v>705</v>
      </c>
      <c r="W520" s="177"/>
      <c r="X520" s="206" t="s">
        <v>705</v>
      </c>
      <c r="Y520" s="177"/>
      <c r="Z520" s="206" t="s">
        <v>705</v>
      </c>
      <c r="AA520" s="178"/>
      <c r="AB520" s="316"/>
      <c r="AC520" s="155"/>
      <c r="AD520" s="155"/>
      <c r="AE520" s="156"/>
      <c r="AF520" s="157"/>
      <c r="AG520" s="297"/>
    </row>
    <row r="521" spans="1:33" s="72" customFormat="1" ht="66" x14ac:dyDescent="0.3">
      <c r="A521" s="269"/>
      <c r="B521" s="316"/>
      <c r="C521" s="314"/>
      <c r="D521" s="297"/>
      <c r="E521" s="143"/>
      <c r="F521" s="228"/>
      <c r="G521" s="228"/>
      <c r="H521" s="143"/>
      <c r="I521" s="136"/>
      <c r="J521" s="316"/>
      <c r="K521" s="137"/>
      <c r="L521" s="314"/>
      <c r="M521" s="226" t="s">
        <v>453</v>
      </c>
      <c r="N521" s="205" t="s">
        <v>813</v>
      </c>
      <c r="O521" s="206" t="s">
        <v>707</v>
      </c>
      <c r="P521" s="206" t="s">
        <v>707</v>
      </c>
      <c r="Q521" s="338"/>
      <c r="R521" s="206" t="s">
        <v>707</v>
      </c>
      <c r="S521" s="338"/>
      <c r="T521" s="206" t="s">
        <v>707</v>
      </c>
      <c r="U521" s="177"/>
      <c r="V521" s="206" t="s">
        <v>707</v>
      </c>
      <c r="W521" s="177"/>
      <c r="X521" s="206" t="s">
        <v>707</v>
      </c>
      <c r="Y521" s="177"/>
      <c r="Z521" s="206" t="s">
        <v>707</v>
      </c>
      <c r="AA521" s="178"/>
      <c r="AB521" s="316"/>
      <c r="AC521" s="155"/>
      <c r="AD521" s="155"/>
      <c r="AE521" s="156"/>
      <c r="AF521" s="157"/>
      <c r="AG521" s="297"/>
    </row>
    <row r="522" spans="1:33" s="72" customFormat="1" ht="66" x14ac:dyDescent="0.3">
      <c r="A522" s="269"/>
      <c r="B522" s="316"/>
      <c r="C522" s="314"/>
      <c r="D522" s="297"/>
      <c r="E522" s="143"/>
      <c r="F522" s="228"/>
      <c r="G522" s="228"/>
      <c r="H522" s="143"/>
      <c r="I522" s="136"/>
      <c r="J522" s="316"/>
      <c r="K522" s="137"/>
      <c r="L522" s="314"/>
      <c r="M522" s="226" t="s">
        <v>454</v>
      </c>
      <c r="N522" s="205" t="s">
        <v>814</v>
      </c>
      <c r="O522" s="206" t="s">
        <v>815</v>
      </c>
      <c r="P522" s="206" t="s">
        <v>815</v>
      </c>
      <c r="Q522" s="338"/>
      <c r="R522" s="206" t="s">
        <v>815</v>
      </c>
      <c r="S522" s="338"/>
      <c r="T522" s="206" t="s">
        <v>815</v>
      </c>
      <c r="U522" s="177"/>
      <c r="V522" s="206" t="s">
        <v>815</v>
      </c>
      <c r="W522" s="177"/>
      <c r="X522" s="206" t="s">
        <v>815</v>
      </c>
      <c r="Y522" s="177"/>
      <c r="Z522" s="206" t="s">
        <v>815</v>
      </c>
      <c r="AA522" s="178"/>
      <c r="AB522" s="316"/>
      <c r="AC522" s="155"/>
      <c r="AD522" s="155"/>
      <c r="AE522" s="156"/>
      <c r="AF522" s="157"/>
      <c r="AG522" s="297"/>
    </row>
    <row r="523" spans="1:33" s="72" customFormat="1" ht="33" x14ac:dyDescent="0.3">
      <c r="A523" s="269"/>
      <c r="B523" s="316"/>
      <c r="C523" s="314"/>
      <c r="D523" s="297"/>
      <c r="E523" s="143"/>
      <c r="F523" s="228"/>
      <c r="G523" s="228"/>
      <c r="H523" s="143"/>
      <c r="I523" s="136"/>
      <c r="J523" s="316"/>
      <c r="K523" s="137"/>
      <c r="L523" s="314"/>
      <c r="M523" s="226" t="s">
        <v>521</v>
      </c>
      <c r="N523" s="205" t="s">
        <v>816</v>
      </c>
      <c r="O523" s="206" t="s">
        <v>817</v>
      </c>
      <c r="P523" s="206" t="s">
        <v>817</v>
      </c>
      <c r="Q523" s="338"/>
      <c r="R523" s="206" t="s">
        <v>817</v>
      </c>
      <c r="S523" s="338"/>
      <c r="T523" s="206" t="s">
        <v>817</v>
      </c>
      <c r="U523" s="177"/>
      <c r="V523" s="206" t="s">
        <v>817</v>
      </c>
      <c r="W523" s="177"/>
      <c r="X523" s="206" t="s">
        <v>817</v>
      </c>
      <c r="Y523" s="177"/>
      <c r="Z523" s="206" t="s">
        <v>817</v>
      </c>
      <c r="AA523" s="178"/>
      <c r="AB523" s="316"/>
      <c r="AC523" s="155"/>
      <c r="AD523" s="155"/>
      <c r="AE523" s="156"/>
      <c r="AF523" s="157"/>
      <c r="AG523" s="297"/>
    </row>
    <row r="524" spans="1:33" s="72" customFormat="1" ht="82.5" x14ac:dyDescent="0.3">
      <c r="A524" s="269"/>
      <c r="B524" s="316"/>
      <c r="C524" s="314"/>
      <c r="D524" s="297"/>
      <c r="E524" s="143"/>
      <c r="F524" s="228"/>
      <c r="G524" s="228"/>
      <c r="H524" s="143"/>
      <c r="I524" s="136"/>
      <c r="J524" s="316"/>
      <c r="K524" s="137"/>
      <c r="L524" s="314"/>
      <c r="M524" s="226" t="s">
        <v>522</v>
      </c>
      <c r="N524" s="315" t="s">
        <v>710</v>
      </c>
      <c r="O524" s="316" t="s">
        <v>818</v>
      </c>
      <c r="P524" s="316" t="s">
        <v>818</v>
      </c>
      <c r="Q524" s="338"/>
      <c r="R524" s="316" t="s">
        <v>818</v>
      </c>
      <c r="S524" s="338"/>
      <c r="T524" s="316" t="s">
        <v>818</v>
      </c>
      <c r="U524" s="177"/>
      <c r="V524" s="316" t="s">
        <v>818</v>
      </c>
      <c r="W524" s="177"/>
      <c r="X524" s="316" t="s">
        <v>818</v>
      </c>
      <c r="Y524" s="177"/>
      <c r="Z524" s="316" t="s">
        <v>818</v>
      </c>
      <c r="AA524" s="178"/>
      <c r="AB524" s="316"/>
      <c r="AC524" s="155"/>
      <c r="AD524" s="155"/>
      <c r="AE524" s="156"/>
      <c r="AF524" s="157"/>
      <c r="AG524" s="297"/>
    </row>
    <row r="525" spans="1:33" s="72" customFormat="1" ht="49.5" x14ac:dyDescent="0.3">
      <c r="A525" s="269"/>
      <c r="B525" s="316"/>
      <c r="C525" s="314"/>
      <c r="D525" s="297"/>
      <c r="E525" s="143"/>
      <c r="F525" s="228"/>
      <c r="G525" s="228"/>
      <c r="H525" s="143"/>
      <c r="I525" s="136"/>
      <c r="J525" s="316"/>
      <c r="K525" s="158" t="s">
        <v>294</v>
      </c>
      <c r="L525" s="159" t="s">
        <v>291</v>
      </c>
      <c r="M525" s="226" t="s">
        <v>299</v>
      </c>
      <c r="N525" s="315" t="s">
        <v>819</v>
      </c>
      <c r="O525" s="316" t="s">
        <v>432</v>
      </c>
      <c r="P525" s="316" t="s">
        <v>432</v>
      </c>
      <c r="Q525" s="338"/>
      <c r="R525" s="316" t="s">
        <v>432</v>
      </c>
      <c r="S525" s="338"/>
      <c r="T525" s="316" t="s">
        <v>432</v>
      </c>
      <c r="U525" s="177"/>
      <c r="V525" s="316" t="s">
        <v>432</v>
      </c>
      <c r="W525" s="177"/>
      <c r="X525" s="316" t="s">
        <v>432</v>
      </c>
      <c r="Y525" s="177"/>
      <c r="Z525" s="316" t="s">
        <v>432</v>
      </c>
      <c r="AA525" s="178"/>
      <c r="AB525" s="316"/>
      <c r="AC525" s="155"/>
      <c r="AD525" s="155"/>
      <c r="AE525" s="156"/>
      <c r="AF525" s="157"/>
      <c r="AG525" s="297"/>
    </row>
    <row r="526" spans="1:33" s="72" customFormat="1" ht="33" x14ac:dyDescent="0.3">
      <c r="A526" s="269"/>
      <c r="B526" s="316"/>
      <c r="C526" s="314"/>
      <c r="D526" s="297"/>
      <c r="E526" s="143"/>
      <c r="F526" s="228"/>
      <c r="G526" s="228"/>
      <c r="H526" s="143"/>
      <c r="I526" s="136"/>
      <c r="J526" s="316"/>
      <c r="K526" s="158"/>
      <c r="L526" s="159"/>
      <c r="M526" s="226" t="s">
        <v>303</v>
      </c>
      <c r="N526" s="315" t="s">
        <v>820</v>
      </c>
      <c r="O526" s="206" t="s">
        <v>804</v>
      </c>
      <c r="P526" s="206" t="s">
        <v>804</v>
      </c>
      <c r="Q526" s="338"/>
      <c r="R526" s="206" t="s">
        <v>804</v>
      </c>
      <c r="S526" s="338"/>
      <c r="T526" s="206" t="s">
        <v>804</v>
      </c>
      <c r="U526" s="177"/>
      <c r="V526" s="206" t="s">
        <v>804</v>
      </c>
      <c r="W526" s="177"/>
      <c r="X526" s="206" t="s">
        <v>804</v>
      </c>
      <c r="Y526" s="177"/>
      <c r="Z526" s="206" t="s">
        <v>804</v>
      </c>
      <c r="AA526" s="178"/>
      <c r="AB526" s="316"/>
      <c r="AC526" s="155"/>
      <c r="AD526" s="155"/>
      <c r="AE526" s="156"/>
      <c r="AF526" s="157"/>
      <c r="AG526" s="297"/>
    </row>
    <row r="527" spans="1:33" s="72" customFormat="1" ht="49.5" x14ac:dyDescent="0.3">
      <c r="A527" s="269"/>
      <c r="B527" s="316"/>
      <c r="C527" s="314"/>
      <c r="D527" s="297"/>
      <c r="E527" s="143"/>
      <c r="F527" s="228"/>
      <c r="G527" s="228"/>
      <c r="H527" s="143"/>
      <c r="I527" s="136"/>
      <c r="J527" s="316"/>
      <c r="K527" s="158"/>
      <c r="L527" s="159"/>
      <c r="M527" s="226" t="s">
        <v>318</v>
      </c>
      <c r="N527" s="315" t="s">
        <v>821</v>
      </c>
      <c r="O527" s="206" t="s">
        <v>806</v>
      </c>
      <c r="P527" s="206" t="s">
        <v>806</v>
      </c>
      <c r="Q527" s="338"/>
      <c r="R527" s="206" t="s">
        <v>806</v>
      </c>
      <c r="S527" s="338"/>
      <c r="T527" s="206" t="s">
        <v>806</v>
      </c>
      <c r="U527" s="177"/>
      <c r="V527" s="206" t="s">
        <v>806</v>
      </c>
      <c r="W527" s="177"/>
      <c r="X527" s="206" t="s">
        <v>806</v>
      </c>
      <c r="Y527" s="177"/>
      <c r="Z527" s="206" t="s">
        <v>806</v>
      </c>
      <c r="AA527" s="178"/>
      <c r="AB527" s="316"/>
      <c r="AC527" s="155"/>
      <c r="AD527" s="155"/>
      <c r="AE527" s="156"/>
      <c r="AF527" s="157"/>
      <c r="AG527" s="297"/>
    </row>
    <row r="528" spans="1:33" s="72" customFormat="1" ht="66" x14ac:dyDescent="0.3">
      <c r="A528" s="269"/>
      <c r="B528" s="316"/>
      <c r="C528" s="314"/>
      <c r="D528" s="297"/>
      <c r="E528" s="143"/>
      <c r="F528" s="228"/>
      <c r="G528" s="228"/>
      <c r="H528" s="143"/>
      <c r="I528" s="136"/>
      <c r="J528" s="316"/>
      <c r="K528" s="158"/>
      <c r="L528" s="159"/>
      <c r="M528" s="226" t="s">
        <v>331</v>
      </c>
      <c r="N528" s="315" t="s">
        <v>822</v>
      </c>
      <c r="O528" s="206" t="s">
        <v>808</v>
      </c>
      <c r="P528" s="206" t="s">
        <v>808</v>
      </c>
      <c r="Q528" s="338"/>
      <c r="R528" s="206" t="s">
        <v>808</v>
      </c>
      <c r="S528" s="338"/>
      <c r="T528" s="206" t="s">
        <v>808</v>
      </c>
      <c r="U528" s="177"/>
      <c r="V528" s="206" t="s">
        <v>808</v>
      </c>
      <c r="W528" s="177"/>
      <c r="X528" s="206" t="s">
        <v>808</v>
      </c>
      <c r="Y528" s="177"/>
      <c r="Z528" s="206" t="s">
        <v>808</v>
      </c>
      <c r="AA528" s="178"/>
      <c r="AB528" s="316"/>
      <c r="AC528" s="155"/>
      <c r="AD528" s="155"/>
      <c r="AE528" s="156"/>
      <c r="AF528" s="157"/>
      <c r="AG528" s="297"/>
    </row>
    <row r="529" spans="1:33" s="72" customFormat="1" ht="49.5" x14ac:dyDescent="0.3">
      <c r="A529" s="269"/>
      <c r="B529" s="316"/>
      <c r="C529" s="314"/>
      <c r="D529" s="297"/>
      <c r="E529" s="143"/>
      <c r="F529" s="228"/>
      <c r="G529" s="228"/>
      <c r="H529" s="143"/>
      <c r="I529" s="136"/>
      <c r="J529" s="316"/>
      <c r="K529" s="158"/>
      <c r="L529" s="159"/>
      <c r="M529" s="226" t="s">
        <v>353</v>
      </c>
      <c r="N529" s="315" t="s">
        <v>823</v>
      </c>
      <c r="O529" s="316">
        <f>(2*107)+(2*29)+(2*24)+(2*6)+(2*43)</f>
        <v>418</v>
      </c>
      <c r="P529" s="316">
        <f>(2*107)+(2*29)+(2*24)+(2*6)+(2*43)</f>
        <v>418</v>
      </c>
      <c r="Q529" s="338"/>
      <c r="R529" s="316">
        <f>(2*107)+(2*29)+(2*24)+(2*6)+(2*43)</f>
        <v>418</v>
      </c>
      <c r="S529" s="338"/>
      <c r="T529" s="316">
        <f>(2*107)+(2*29)+(2*24)+(2*6)+(2*43)</f>
        <v>418</v>
      </c>
      <c r="U529" s="177"/>
      <c r="V529" s="316">
        <f>(2*107)+(2*29)+(2*24)+(2*6)+(2*43)</f>
        <v>418</v>
      </c>
      <c r="W529" s="177"/>
      <c r="X529" s="316">
        <f>(2*107)+(2*29)+(2*24)+(2*6)+(2*43)</f>
        <v>418</v>
      </c>
      <c r="Y529" s="177"/>
      <c r="Z529" s="316">
        <f>(2*107)+(2*29)+(2*24)+(2*6)+(2*43)</f>
        <v>418</v>
      </c>
      <c r="AA529" s="178"/>
      <c r="AB529" s="316"/>
      <c r="AC529" s="155"/>
      <c r="AD529" s="155"/>
      <c r="AE529" s="156"/>
      <c r="AF529" s="157"/>
      <c r="AG529" s="297"/>
    </row>
    <row r="530" spans="1:33" s="72" customFormat="1" ht="66" x14ac:dyDescent="0.3">
      <c r="A530" s="269"/>
      <c r="B530" s="316"/>
      <c r="C530" s="314"/>
      <c r="D530" s="297"/>
      <c r="E530" s="143"/>
      <c r="F530" s="228"/>
      <c r="G530" s="228"/>
      <c r="H530" s="143"/>
      <c r="I530" s="136"/>
      <c r="J530" s="316"/>
      <c r="K530" s="158"/>
      <c r="L530" s="159"/>
      <c r="M530" s="226" t="s">
        <v>352</v>
      </c>
      <c r="N530" s="315" t="s">
        <v>719</v>
      </c>
      <c r="O530" s="316" t="s">
        <v>811</v>
      </c>
      <c r="P530" s="316" t="s">
        <v>811</v>
      </c>
      <c r="Q530" s="338"/>
      <c r="R530" s="316" t="s">
        <v>811</v>
      </c>
      <c r="S530" s="338"/>
      <c r="T530" s="316" t="s">
        <v>811</v>
      </c>
      <c r="U530" s="177"/>
      <c r="V530" s="316" t="s">
        <v>811</v>
      </c>
      <c r="W530" s="177"/>
      <c r="X530" s="316" t="s">
        <v>811</v>
      </c>
      <c r="Y530" s="177"/>
      <c r="Z530" s="316" t="s">
        <v>811</v>
      </c>
      <c r="AA530" s="178"/>
      <c r="AB530" s="316"/>
      <c r="AC530" s="155"/>
      <c r="AD530" s="155"/>
      <c r="AE530" s="156"/>
      <c r="AF530" s="157"/>
      <c r="AG530" s="297"/>
    </row>
    <row r="531" spans="1:33" s="72" customFormat="1" ht="82.5" x14ac:dyDescent="0.3">
      <c r="A531" s="269"/>
      <c r="B531" s="316"/>
      <c r="C531" s="314"/>
      <c r="D531" s="297"/>
      <c r="E531" s="143"/>
      <c r="F531" s="228"/>
      <c r="G531" s="228"/>
      <c r="H531" s="143"/>
      <c r="I531" s="136"/>
      <c r="J531" s="316"/>
      <c r="K531" s="158"/>
      <c r="L531" s="159"/>
      <c r="M531" s="226" t="s">
        <v>402</v>
      </c>
      <c r="N531" s="315" t="s">
        <v>720</v>
      </c>
      <c r="O531" s="316" t="s">
        <v>721</v>
      </c>
      <c r="P531" s="316" t="s">
        <v>721</v>
      </c>
      <c r="Q531" s="338"/>
      <c r="R531" s="316" t="s">
        <v>721</v>
      </c>
      <c r="S531" s="338"/>
      <c r="T531" s="316" t="s">
        <v>721</v>
      </c>
      <c r="U531" s="177"/>
      <c r="V531" s="316" t="s">
        <v>721</v>
      </c>
      <c r="W531" s="177"/>
      <c r="X531" s="316" t="s">
        <v>721</v>
      </c>
      <c r="Y531" s="177"/>
      <c r="Z531" s="316" t="s">
        <v>721</v>
      </c>
      <c r="AA531" s="178"/>
      <c r="AB531" s="316"/>
      <c r="AC531" s="155"/>
      <c r="AD531" s="155"/>
      <c r="AE531" s="156"/>
      <c r="AF531" s="157"/>
      <c r="AG531" s="297"/>
    </row>
    <row r="532" spans="1:33" s="72" customFormat="1" ht="82.5" x14ac:dyDescent="0.3">
      <c r="A532" s="269"/>
      <c r="B532" s="316"/>
      <c r="C532" s="314"/>
      <c r="D532" s="297"/>
      <c r="E532" s="143"/>
      <c r="F532" s="228"/>
      <c r="G532" s="228"/>
      <c r="H532" s="143"/>
      <c r="I532" s="136"/>
      <c r="J532" s="316"/>
      <c r="K532" s="158"/>
      <c r="L532" s="159"/>
      <c r="M532" s="226" t="s">
        <v>453</v>
      </c>
      <c r="N532" s="315" t="s">
        <v>722</v>
      </c>
      <c r="O532" s="316" t="s">
        <v>347</v>
      </c>
      <c r="P532" s="316" t="s">
        <v>347</v>
      </c>
      <c r="Q532" s="338"/>
      <c r="R532" s="316" t="s">
        <v>347</v>
      </c>
      <c r="S532" s="338"/>
      <c r="T532" s="316" t="s">
        <v>347</v>
      </c>
      <c r="U532" s="177"/>
      <c r="V532" s="316" t="s">
        <v>347</v>
      </c>
      <c r="W532" s="177"/>
      <c r="X532" s="316" t="s">
        <v>347</v>
      </c>
      <c r="Y532" s="177"/>
      <c r="Z532" s="316" t="s">
        <v>347</v>
      </c>
      <c r="AA532" s="178"/>
      <c r="AB532" s="316"/>
      <c r="AC532" s="155"/>
      <c r="AD532" s="155"/>
      <c r="AE532" s="156"/>
      <c r="AF532" s="157"/>
      <c r="AG532" s="297"/>
    </row>
    <row r="533" spans="1:33" s="72" customFormat="1" ht="82.5" x14ac:dyDescent="0.3">
      <c r="A533" s="269"/>
      <c r="B533" s="316"/>
      <c r="C533" s="314"/>
      <c r="D533" s="297"/>
      <c r="E533" s="143"/>
      <c r="F533" s="228"/>
      <c r="G533" s="228"/>
      <c r="H533" s="143"/>
      <c r="I533" s="136"/>
      <c r="J533" s="316"/>
      <c r="K533" s="158"/>
      <c r="L533" s="159"/>
      <c r="M533" s="226" t="s">
        <v>454</v>
      </c>
      <c r="N533" s="315" t="s">
        <v>723</v>
      </c>
      <c r="O533" s="316" t="s">
        <v>815</v>
      </c>
      <c r="P533" s="316" t="s">
        <v>815</v>
      </c>
      <c r="Q533" s="338"/>
      <c r="R533" s="316" t="s">
        <v>815</v>
      </c>
      <c r="S533" s="338"/>
      <c r="T533" s="316" t="s">
        <v>815</v>
      </c>
      <c r="U533" s="177"/>
      <c r="V533" s="316" t="s">
        <v>815</v>
      </c>
      <c r="W533" s="177"/>
      <c r="X533" s="316" t="s">
        <v>815</v>
      </c>
      <c r="Y533" s="177"/>
      <c r="Z533" s="316" t="s">
        <v>815</v>
      </c>
      <c r="AA533" s="178"/>
      <c r="AB533" s="316"/>
      <c r="AC533" s="155"/>
      <c r="AD533" s="155"/>
      <c r="AE533" s="156"/>
      <c r="AF533" s="157"/>
      <c r="AG533" s="297"/>
    </row>
    <row r="534" spans="1:33" s="72" customFormat="1" ht="49.5" x14ac:dyDescent="0.3">
      <c r="A534" s="269"/>
      <c r="B534" s="316"/>
      <c r="C534" s="314"/>
      <c r="D534" s="297"/>
      <c r="E534" s="143"/>
      <c r="F534" s="228"/>
      <c r="G534" s="228"/>
      <c r="H534" s="143"/>
      <c r="I534" s="136"/>
      <c r="J534" s="316"/>
      <c r="K534" s="158"/>
      <c r="L534" s="159"/>
      <c r="M534" s="226" t="s">
        <v>521</v>
      </c>
      <c r="N534" s="315" t="s">
        <v>824</v>
      </c>
      <c r="O534" s="206" t="s">
        <v>817</v>
      </c>
      <c r="P534" s="206" t="s">
        <v>817</v>
      </c>
      <c r="Q534" s="338"/>
      <c r="R534" s="206" t="s">
        <v>817</v>
      </c>
      <c r="S534" s="338"/>
      <c r="T534" s="206" t="s">
        <v>817</v>
      </c>
      <c r="U534" s="177"/>
      <c r="V534" s="206" t="s">
        <v>817</v>
      </c>
      <c r="W534" s="177"/>
      <c r="X534" s="206" t="s">
        <v>817</v>
      </c>
      <c r="Y534" s="177"/>
      <c r="Z534" s="206" t="s">
        <v>817</v>
      </c>
      <c r="AA534" s="178"/>
      <c r="AB534" s="316"/>
      <c r="AC534" s="155"/>
      <c r="AD534" s="155"/>
      <c r="AE534" s="156"/>
      <c r="AF534" s="157"/>
      <c r="AG534" s="297"/>
    </row>
    <row r="535" spans="1:33" s="72" customFormat="1" ht="66" x14ac:dyDescent="0.3">
      <c r="A535" s="269"/>
      <c r="B535" s="316"/>
      <c r="C535" s="314"/>
      <c r="D535" s="297"/>
      <c r="E535" s="143"/>
      <c r="F535" s="228"/>
      <c r="G535" s="228"/>
      <c r="H535" s="143"/>
      <c r="I535" s="136"/>
      <c r="J535" s="316"/>
      <c r="K535" s="158"/>
      <c r="L535" s="159"/>
      <c r="M535" s="226" t="s">
        <v>522</v>
      </c>
      <c r="N535" s="315" t="s">
        <v>724</v>
      </c>
      <c r="O535" s="316" t="s">
        <v>825</v>
      </c>
      <c r="P535" s="316" t="s">
        <v>825</v>
      </c>
      <c r="Q535" s="338"/>
      <c r="R535" s="316" t="s">
        <v>825</v>
      </c>
      <c r="S535" s="338"/>
      <c r="T535" s="316" t="s">
        <v>825</v>
      </c>
      <c r="U535" s="177"/>
      <c r="V535" s="316" t="s">
        <v>825</v>
      </c>
      <c r="W535" s="177"/>
      <c r="X535" s="316" t="s">
        <v>825</v>
      </c>
      <c r="Y535" s="177"/>
      <c r="Z535" s="316" t="s">
        <v>825</v>
      </c>
      <c r="AA535" s="178"/>
      <c r="AB535" s="316"/>
      <c r="AC535" s="155"/>
      <c r="AD535" s="155"/>
      <c r="AE535" s="156"/>
      <c r="AF535" s="157"/>
      <c r="AG535" s="297"/>
    </row>
    <row r="536" spans="1:33" s="72" customFormat="1" ht="33" x14ac:dyDescent="0.3">
      <c r="A536" s="269"/>
      <c r="B536" s="316"/>
      <c r="C536" s="314"/>
      <c r="D536" s="297"/>
      <c r="E536" s="143"/>
      <c r="F536" s="228"/>
      <c r="G536" s="228"/>
      <c r="H536" s="143"/>
      <c r="I536" s="136"/>
      <c r="J536" s="316"/>
      <c r="K536" s="137" t="s">
        <v>295</v>
      </c>
      <c r="L536" s="314" t="s">
        <v>291</v>
      </c>
      <c r="M536" s="519" t="s">
        <v>689</v>
      </c>
      <c r="N536" s="520"/>
      <c r="O536" s="137"/>
      <c r="P536" s="137"/>
      <c r="Q536" s="338"/>
      <c r="R536" s="137"/>
      <c r="S536" s="338"/>
      <c r="T536" s="137"/>
      <c r="U536" s="177"/>
      <c r="V536" s="137"/>
      <c r="W536" s="177"/>
      <c r="X536" s="137"/>
      <c r="Y536" s="177"/>
      <c r="Z536" s="137"/>
      <c r="AA536" s="178"/>
      <c r="AB536" s="316"/>
      <c r="AC536" s="155"/>
      <c r="AD536" s="155"/>
      <c r="AE536" s="156"/>
      <c r="AF536" s="157"/>
      <c r="AG536" s="297"/>
    </row>
    <row r="537" spans="1:33" s="72" customFormat="1" ht="33" x14ac:dyDescent="0.3">
      <c r="A537" s="269"/>
      <c r="B537" s="179"/>
      <c r="C537" s="182"/>
      <c r="D537" s="299"/>
      <c r="E537" s="180"/>
      <c r="F537" s="238"/>
      <c r="G537" s="238"/>
      <c r="H537" s="180"/>
      <c r="I537" s="181"/>
      <c r="J537" s="179"/>
      <c r="K537" s="183" t="s">
        <v>297</v>
      </c>
      <c r="L537" s="182" t="s">
        <v>291</v>
      </c>
      <c r="M537" s="230" t="s">
        <v>501</v>
      </c>
      <c r="N537" s="227"/>
      <c r="O537" s="183"/>
      <c r="P537" s="183"/>
      <c r="Q537" s="339"/>
      <c r="R537" s="183"/>
      <c r="S537" s="339"/>
      <c r="T537" s="183"/>
      <c r="U537" s="347"/>
      <c r="V537" s="183"/>
      <c r="W537" s="347"/>
      <c r="X537" s="183"/>
      <c r="Y537" s="347"/>
      <c r="Z537" s="183"/>
      <c r="AA537" s="350"/>
      <c r="AB537" s="179"/>
      <c r="AC537" s="187"/>
      <c r="AD537" s="187"/>
      <c r="AE537" s="188"/>
      <c r="AF537" s="189"/>
      <c r="AG537" s="299"/>
    </row>
    <row r="538" spans="1:33" s="72" customFormat="1" x14ac:dyDescent="0.3">
      <c r="A538" s="269"/>
      <c r="B538" s="316"/>
      <c r="C538" s="314"/>
      <c r="D538" s="297"/>
      <c r="E538" s="143"/>
      <c r="F538" s="143"/>
      <c r="G538" s="143"/>
      <c r="H538" s="143"/>
      <c r="I538" s="143"/>
      <c r="J538" s="316"/>
      <c r="K538" s="158"/>
      <c r="L538" s="159"/>
      <c r="M538" s="159"/>
      <c r="N538" s="315"/>
      <c r="O538" s="316"/>
      <c r="P538" s="316"/>
      <c r="Q538" s="338"/>
      <c r="R538" s="316"/>
      <c r="S538" s="338"/>
      <c r="T538" s="316"/>
      <c r="U538" s="177"/>
      <c r="V538" s="316"/>
      <c r="W538" s="177"/>
      <c r="X538" s="316"/>
      <c r="Y538" s="177"/>
      <c r="Z538" s="316"/>
      <c r="AA538" s="178"/>
      <c r="AB538" s="316"/>
      <c r="AC538" s="155"/>
      <c r="AD538" s="155"/>
      <c r="AE538" s="156"/>
      <c r="AF538" s="157"/>
      <c r="AG538" s="297"/>
    </row>
    <row r="539" spans="1:33" s="72" customFormat="1" ht="33" x14ac:dyDescent="0.3">
      <c r="A539" s="269"/>
      <c r="B539" s="316"/>
      <c r="C539" s="316"/>
      <c r="D539" s="269"/>
      <c r="E539" s="143">
        <v>1</v>
      </c>
      <c r="F539" s="228" t="s">
        <v>131</v>
      </c>
      <c r="G539" s="228" t="s">
        <v>131</v>
      </c>
      <c r="H539" s="143">
        <v>12</v>
      </c>
      <c r="I539" s="136">
        <v>5</v>
      </c>
      <c r="J539" s="316" t="s">
        <v>392</v>
      </c>
      <c r="K539" s="158" t="s">
        <v>290</v>
      </c>
      <c r="L539" s="159" t="s">
        <v>291</v>
      </c>
      <c r="M539" s="514" t="s">
        <v>312</v>
      </c>
      <c r="N539" s="515"/>
      <c r="O539" s="316" t="s">
        <v>301</v>
      </c>
      <c r="P539" s="316" t="s">
        <v>301</v>
      </c>
      <c r="Q539" s="338">
        <v>618926000</v>
      </c>
      <c r="R539" s="316" t="s">
        <v>301</v>
      </c>
      <c r="S539" s="334">
        <f>Q539+(Q539*10%)-600</f>
        <v>680818000</v>
      </c>
      <c r="T539" s="316" t="s">
        <v>301</v>
      </c>
      <c r="U539" s="334">
        <f>S539+(S539*10%)-800</f>
        <v>748899000</v>
      </c>
      <c r="V539" s="316" t="s">
        <v>301</v>
      </c>
      <c r="W539" s="334">
        <f>U539+(U539*10%)-900</f>
        <v>823788000</v>
      </c>
      <c r="X539" s="316" t="s">
        <v>301</v>
      </c>
      <c r="Y539" s="334">
        <f>W539+(W539*10%)-800</f>
        <v>906166000</v>
      </c>
      <c r="Z539" s="316" t="s">
        <v>301</v>
      </c>
      <c r="AA539" s="178">
        <f>Y539+W539+U539+S539+Q539</f>
        <v>3778597000</v>
      </c>
      <c r="AB539" s="316" t="s">
        <v>66</v>
      </c>
      <c r="AC539" s="155"/>
      <c r="AD539" s="155"/>
      <c r="AE539" s="156"/>
      <c r="AF539" s="157"/>
      <c r="AG539" s="316" t="s">
        <v>156</v>
      </c>
    </row>
    <row r="540" spans="1:33" s="72" customFormat="1" ht="99" x14ac:dyDescent="0.3">
      <c r="A540" s="269"/>
      <c r="B540" s="316"/>
      <c r="C540" s="316"/>
      <c r="D540" s="269"/>
      <c r="E540" s="143"/>
      <c r="F540" s="228"/>
      <c r="G540" s="228"/>
      <c r="H540" s="143"/>
      <c r="I540" s="136"/>
      <c r="J540" s="316"/>
      <c r="K540" s="158" t="s">
        <v>293</v>
      </c>
      <c r="L540" s="159" t="s">
        <v>291</v>
      </c>
      <c r="M540" s="160" t="s">
        <v>299</v>
      </c>
      <c r="N540" s="205" t="s">
        <v>803</v>
      </c>
      <c r="O540" s="206" t="s">
        <v>804</v>
      </c>
      <c r="P540" s="206" t="s">
        <v>804</v>
      </c>
      <c r="Q540" s="338"/>
      <c r="R540" s="206" t="s">
        <v>804</v>
      </c>
      <c r="S540" s="338"/>
      <c r="T540" s="206" t="s">
        <v>804</v>
      </c>
      <c r="U540" s="177"/>
      <c r="V540" s="206" t="s">
        <v>804</v>
      </c>
      <c r="W540" s="177"/>
      <c r="X540" s="206" t="s">
        <v>804</v>
      </c>
      <c r="Y540" s="177"/>
      <c r="Z540" s="206" t="s">
        <v>804</v>
      </c>
      <c r="AA540" s="178"/>
      <c r="AB540" s="316"/>
      <c r="AC540" s="155"/>
      <c r="AD540" s="155"/>
      <c r="AE540" s="156"/>
      <c r="AF540" s="157"/>
      <c r="AG540" s="297"/>
    </row>
    <row r="541" spans="1:33" s="72" customFormat="1" ht="132" x14ac:dyDescent="0.3">
      <c r="A541" s="269"/>
      <c r="B541" s="316"/>
      <c r="C541" s="316"/>
      <c r="D541" s="269"/>
      <c r="E541" s="143"/>
      <c r="F541" s="228"/>
      <c r="G541" s="228"/>
      <c r="H541" s="143"/>
      <c r="I541" s="136"/>
      <c r="J541" s="316"/>
      <c r="K541" s="158"/>
      <c r="L541" s="159"/>
      <c r="M541" s="160" t="s">
        <v>303</v>
      </c>
      <c r="N541" s="205" t="s">
        <v>826</v>
      </c>
      <c r="O541" s="316">
        <f>(2*107)+(2*29)+(2*24)+(2*6)+(2*43)</f>
        <v>418</v>
      </c>
      <c r="P541" s="316">
        <f>(2*107)+(2*29)+(2*24)+(2*6)+(2*43)</f>
        <v>418</v>
      </c>
      <c r="Q541" s="338"/>
      <c r="R541" s="316">
        <f>(2*107)+(2*29)+(2*24)+(2*6)+(2*43)</f>
        <v>418</v>
      </c>
      <c r="S541" s="338"/>
      <c r="T541" s="316">
        <f>(2*107)+(2*29)+(2*24)+(2*6)+(2*43)</f>
        <v>418</v>
      </c>
      <c r="U541" s="177"/>
      <c r="V541" s="316">
        <f>(2*107)+(2*29)+(2*24)+(2*6)+(2*43)</f>
        <v>418</v>
      </c>
      <c r="W541" s="177"/>
      <c r="X541" s="316">
        <f>(2*107)+(2*29)+(2*24)+(2*6)+(2*43)</f>
        <v>418</v>
      </c>
      <c r="Y541" s="177"/>
      <c r="Z541" s="316">
        <f>(2*107)+(2*29)+(2*24)+(2*6)+(2*43)</f>
        <v>418</v>
      </c>
      <c r="AA541" s="178"/>
      <c r="AB541" s="316"/>
      <c r="AC541" s="155"/>
      <c r="AD541" s="155"/>
      <c r="AE541" s="156"/>
      <c r="AF541" s="157"/>
      <c r="AG541" s="297"/>
    </row>
    <row r="542" spans="1:33" s="72" customFormat="1" ht="66" x14ac:dyDescent="0.3">
      <c r="A542" s="269"/>
      <c r="B542" s="316"/>
      <c r="C542" s="316"/>
      <c r="D542" s="269"/>
      <c r="E542" s="143"/>
      <c r="F542" s="228"/>
      <c r="G542" s="228"/>
      <c r="H542" s="143"/>
      <c r="I542" s="136"/>
      <c r="J542" s="316"/>
      <c r="K542" s="158"/>
      <c r="L542" s="159"/>
      <c r="M542" s="160" t="s">
        <v>318</v>
      </c>
      <c r="N542" s="205" t="s">
        <v>827</v>
      </c>
      <c r="O542" s="316" t="s">
        <v>811</v>
      </c>
      <c r="P542" s="316" t="s">
        <v>811</v>
      </c>
      <c r="Q542" s="338"/>
      <c r="R542" s="316" t="s">
        <v>811</v>
      </c>
      <c r="S542" s="338"/>
      <c r="T542" s="316" t="s">
        <v>811</v>
      </c>
      <c r="U542" s="177"/>
      <c r="V542" s="316" t="s">
        <v>811</v>
      </c>
      <c r="W542" s="177"/>
      <c r="X542" s="316" t="s">
        <v>811</v>
      </c>
      <c r="Y542" s="177"/>
      <c r="Z542" s="316" t="s">
        <v>811</v>
      </c>
      <c r="AA542" s="178"/>
      <c r="AB542" s="316"/>
      <c r="AC542" s="155"/>
      <c r="AD542" s="155"/>
      <c r="AE542" s="156"/>
      <c r="AF542" s="157"/>
      <c r="AG542" s="297"/>
    </row>
    <row r="543" spans="1:33" s="72" customFormat="1" ht="82.5" x14ac:dyDescent="0.3">
      <c r="A543" s="269"/>
      <c r="B543" s="316"/>
      <c r="C543" s="316"/>
      <c r="D543" s="269"/>
      <c r="E543" s="143"/>
      <c r="F543" s="228"/>
      <c r="G543" s="228"/>
      <c r="H543" s="143"/>
      <c r="I543" s="136"/>
      <c r="J543" s="316"/>
      <c r="K543" s="158"/>
      <c r="L543" s="159"/>
      <c r="M543" s="160" t="s">
        <v>331</v>
      </c>
      <c r="N543" s="315" t="s">
        <v>710</v>
      </c>
      <c r="O543" s="316" t="s">
        <v>828</v>
      </c>
      <c r="P543" s="316" t="s">
        <v>828</v>
      </c>
      <c r="Q543" s="338"/>
      <c r="R543" s="316" t="s">
        <v>828</v>
      </c>
      <c r="S543" s="338"/>
      <c r="T543" s="316" t="s">
        <v>828</v>
      </c>
      <c r="U543" s="177"/>
      <c r="V543" s="316" t="s">
        <v>828</v>
      </c>
      <c r="W543" s="177"/>
      <c r="X543" s="316" t="s">
        <v>828</v>
      </c>
      <c r="Y543" s="177"/>
      <c r="Z543" s="316" t="s">
        <v>828</v>
      </c>
      <c r="AA543" s="178"/>
      <c r="AB543" s="316"/>
      <c r="AC543" s="155"/>
      <c r="AD543" s="155"/>
      <c r="AE543" s="156"/>
      <c r="AF543" s="157"/>
      <c r="AG543" s="297"/>
    </row>
    <row r="544" spans="1:33" s="72" customFormat="1" ht="66" x14ac:dyDescent="0.3">
      <c r="A544" s="269"/>
      <c r="B544" s="316"/>
      <c r="C544" s="316"/>
      <c r="D544" s="269"/>
      <c r="E544" s="143"/>
      <c r="F544" s="228"/>
      <c r="G544" s="228"/>
      <c r="H544" s="143"/>
      <c r="I544" s="136"/>
      <c r="J544" s="316"/>
      <c r="K544" s="158"/>
      <c r="L544" s="159"/>
      <c r="M544" s="160" t="s">
        <v>353</v>
      </c>
      <c r="N544" s="205" t="s">
        <v>812</v>
      </c>
      <c r="O544" s="206" t="s">
        <v>705</v>
      </c>
      <c r="P544" s="206" t="s">
        <v>705</v>
      </c>
      <c r="Q544" s="338"/>
      <c r="R544" s="206" t="s">
        <v>705</v>
      </c>
      <c r="S544" s="338"/>
      <c r="T544" s="206" t="s">
        <v>705</v>
      </c>
      <c r="U544" s="177"/>
      <c r="V544" s="206" t="s">
        <v>705</v>
      </c>
      <c r="W544" s="177"/>
      <c r="X544" s="206" t="s">
        <v>705</v>
      </c>
      <c r="Y544" s="177"/>
      <c r="Z544" s="206" t="s">
        <v>705</v>
      </c>
      <c r="AA544" s="178"/>
      <c r="AB544" s="316"/>
      <c r="AC544" s="155"/>
      <c r="AD544" s="155"/>
      <c r="AE544" s="156"/>
      <c r="AF544" s="157"/>
      <c r="AG544" s="297"/>
    </row>
    <row r="545" spans="1:33" s="72" customFormat="1" ht="66" x14ac:dyDescent="0.3">
      <c r="A545" s="269"/>
      <c r="B545" s="316"/>
      <c r="C545" s="316"/>
      <c r="D545" s="269"/>
      <c r="E545" s="143"/>
      <c r="F545" s="228"/>
      <c r="G545" s="228"/>
      <c r="H545" s="143"/>
      <c r="I545" s="136"/>
      <c r="J545" s="316"/>
      <c r="K545" s="158"/>
      <c r="L545" s="159"/>
      <c r="M545" s="160" t="s">
        <v>352</v>
      </c>
      <c r="N545" s="205" t="s">
        <v>813</v>
      </c>
      <c r="O545" s="206" t="s">
        <v>829</v>
      </c>
      <c r="P545" s="206" t="s">
        <v>829</v>
      </c>
      <c r="Q545" s="338"/>
      <c r="R545" s="206" t="s">
        <v>829</v>
      </c>
      <c r="S545" s="338"/>
      <c r="T545" s="206" t="s">
        <v>829</v>
      </c>
      <c r="U545" s="177"/>
      <c r="V545" s="206" t="s">
        <v>829</v>
      </c>
      <c r="W545" s="177"/>
      <c r="X545" s="206" t="s">
        <v>829</v>
      </c>
      <c r="Y545" s="177"/>
      <c r="Z545" s="206" t="s">
        <v>829</v>
      </c>
      <c r="AA545" s="178"/>
      <c r="AB545" s="316"/>
      <c r="AC545" s="155"/>
      <c r="AD545" s="155"/>
      <c r="AE545" s="156"/>
      <c r="AF545" s="157"/>
      <c r="AG545" s="297"/>
    </row>
    <row r="546" spans="1:33" s="72" customFormat="1" ht="66" x14ac:dyDescent="0.3">
      <c r="A546" s="269"/>
      <c r="B546" s="316"/>
      <c r="C546" s="316"/>
      <c r="D546" s="269"/>
      <c r="E546" s="143"/>
      <c r="F546" s="228"/>
      <c r="G546" s="228"/>
      <c r="H546" s="143"/>
      <c r="I546" s="136"/>
      <c r="J546" s="316"/>
      <c r="K546" s="137"/>
      <c r="L546" s="314"/>
      <c r="M546" s="226" t="s">
        <v>402</v>
      </c>
      <c r="N546" s="205" t="s">
        <v>814</v>
      </c>
      <c r="O546" s="206" t="s">
        <v>815</v>
      </c>
      <c r="P546" s="206" t="s">
        <v>815</v>
      </c>
      <c r="Q546" s="338"/>
      <c r="R546" s="206" t="s">
        <v>815</v>
      </c>
      <c r="S546" s="338"/>
      <c r="T546" s="206" t="s">
        <v>815</v>
      </c>
      <c r="U546" s="177"/>
      <c r="V546" s="206" t="s">
        <v>815</v>
      </c>
      <c r="W546" s="177"/>
      <c r="X546" s="206" t="s">
        <v>815</v>
      </c>
      <c r="Y546" s="177"/>
      <c r="Z546" s="206" t="s">
        <v>815</v>
      </c>
      <c r="AA546" s="178"/>
      <c r="AB546" s="316"/>
      <c r="AC546" s="155"/>
      <c r="AD546" s="155"/>
      <c r="AE546" s="156"/>
      <c r="AF546" s="157"/>
      <c r="AG546" s="297"/>
    </row>
    <row r="547" spans="1:33" s="72" customFormat="1" ht="33" x14ac:dyDescent="0.3">
      <c r="A547" s="269"/>
      <c r="B547" s="316"/>
      <c r="C547" s="316"/>
      <c r="D547" s="269"/>
      <c r="E547" s="143"/>
      <c r="F547" s="228"/>
      <c r="G547" s="228"/>
      <c r="H547" s="143"/>
      <c r="I547" s="136"/>
      <c r="J547" s="316"/>
      <c r="K547" s="137"/>
      <c r="L547" s="314"/>
      <c r="M547" s="226" t="s">
        <v>453</v>
      </c>
      <c r="N547" s="205" t="s">
        <v>830</v>
      </c>
      <c r="O547" s="206" t="s">
        <v>817</v>
      </c>
      <c r="P547" s="206" t="s">
        <v>817</v>
      </c>
      <c r="Q547" s="338"/>
      <c r="R547" s="206" t="s">
        <v>817</v>
      </c>
      <c r="S547" s="338"/>
      <c r="T547" s="206" t="s">
        <v>817</v>
      </c>
      <c r="U547" s="177"/>
      <c r="V547" s="206" t="s">
        <v>817</v>
      </c>
      <c r="W547" s="177"/>
      <c r="X547" s="206" t="s">
        <v>817</v>
      </c>
      <c r="Y547" s="177"/>
      <c r="Z547" s="206" t="s">
        <v>817</v>
      </c>
      <c r="AA547" s="178"/>
      <c r="AB547" s="316"/>
      <c r="AC547" s="155"/>
      <c r="AD547" s="155"/>
      <c r="AE547" s="156"/>
      <c r="AF547" s="157"/>
      <c r="AG547" s="297"/>
    </row>
    <row r="548" spans="1:33" s="72" customFormat="1" ht="66" x14ac:dyDescent="0.3">
      <c r="A548" s="269"/>
      <c r="B548" s="316"/>
      <c r="C548" s="316"/>
      <c r="D548" s="269"/>
      <c r="E548" s="143"/>
      <c r="F548" s="228"/>
      <c r="G548" s="228"/>
      <c r="H548" s="143"/>
      <c r="I548" s="136"/>
      <c r="J548" s="316"/>
      <c r="K548" s="137"/>
      <c r="L548" s="314"/>
      <c r="M548" s="226" t="s">
        <v>454</v>
      </c>
      <c r="N548" s="315" t="s">
        <v>801</v>
      </c>
      <c r="O548" s="316" t="s">
        <v>829</v>
      </c>
      <c r="P548" s="316" t="s">
        <v>829</v>
      </c>
      <c r="Q548" s="338"/>
      <c r="R548" s="316" t="s">
        <v>829</v>
      </c>
      <c r="S548" s="338"/>
      <c r="T548" s="316" t="s">
        <v>829</v>
      </c>
      <c r="U548" s="177"/>
      <c r="V548" s="316" t="s">
        <v>829</v>
      </c>
      <c r="W548" s="177"/>
      <c r="X548" s="316" t="s">
        <v>829</v>
      </c>
      <c r="Y548" s="177"/>
      <c r="Z548" s="316" t="s">
        <v>829</v>
      </c>
      <c r="AA548" s="178"/>
      <c r="AB548" s="316"/>
      <c r="AC548" s="155"/>
      <c r="AD548" s="155"/>
      <c r="AE548" s="156"/>
      <c r="AF548" s="157"/>
      <c r="AG548" s="297"/>
    </row>
    <row r="549" spans="1:33" s="72" customFormat="1" ht="33" x14ac:dyDescent="0.3">
      <c r="A549" s="269"/>
      <c r="B549" s="316"/>
      <c r="C549" s="316"/>
      <c r="D549" s="269"/>
      <c r="E549" s="143"/>
      <c r="F549" s="228"/>
      <c r="G549" s="228"/>
      <c r="H549" s="143"/>
      <c r="I549" s="136"/>
      <c r="J549" s="316"/>
      <c r="K549" s="137"/>
      <c r="L549" s="314"/>
      <c r="M549" s="226" t="s">
        <v>521</v>
      </c>
      <c r="N549" s="315" t="s">
        <v>774</v>
      </c>
      <c r="O549" s="316" t="s">
        <v>775</v>
      </c>
      <c r="P549" s="316" t="s">
        <v>775</v>
      </c>
      <c r="Q549" s="338"/>
      <c r="R549" s="316" t="s">
        <v>775</v>
      </c>
      <c r="S549" s="338"/>
      <c r="T549" s="316" t="s">
        <v>775</v>
      </c>
      <c r="U549" s="177"/>
      <c r="V549" s="316" t="s">
        <v>775</v>
      </c>
      <c r="W549" s="177"/>
      <c r="X549" s="316" t="s">
        <v>775</v>
      </c>
      <c r="Y549" s="177"/>
      <c r="Z549" s="316" t="s">
        <v>775</v>
      </c>
      <c r="AA549" s="178"/>
      <c r="AB549" s="316"/>
      <c r="AC549" s="155"/>
      <c r="AD549" s="155"/>
      <c r="AE549" s="156"/>
      <c r="AF549" s="157"/>
      <c r="AG549" s="297"/>
    </row>
    <row r="550" spans="1:33" s="72" customFormat="1" ht="82.5" x14ac:dyDescent="0.3">
      <c r="A550" s="269"/>
      <c r="B550" s="316"/>
      <c r="C550" s="316"/>
      <c r="D550" s="269"/>
      <c r="E550" s="143"/>
      <c r="F550" s="228"/>
      <c r="G550" s="228"/>
      <c r="H550" s="143"/>
      <c r="I550" s="136"/>
      <c r="J550" s="316"/>
      <c r="K550" s="137"/>
      <c r="L550" s="314"/>
      <c r="M550" s="226" t="s">
        <v>522</v>
      </c>
      <c r="N550" s="205" t="s">
        <v>776</v>
      </c>
      <c r="O550" s="206" t="s">
        <v>777</v>
      </c>
      <c r="P550" s="206" t="s">
        <v>777</v>
      </c>
      <c r="Q550" s="338"/>
      <c r="R550" s="206" t="s">
        <v>777</v>
      </c>
      <c r="S550" s="338"/>
      <c r="T550" s="206" t="s">
        <v>777</v>
      </c>
      <c r="U550" s="177"/>
      <c r="V550" s="206" t="s">
        <v>777</v>
      </c>
      <c r="W550" s="177"/>
      <c r="X550" s="206" t="s">
        <v>777</v>
      </c>
      <c r="Y550" s="177"/>
      <c r="Z550" s="206" t="s">
        <v>777</v>
      </c>
      <c r="AA550" s="178"/>
      <c r="AB550" s="316"/>
      <c r="AC550" s="155"/>
      <c r="AD550" s="155"/>
      <c r="AE550" s="156"/>
      <c r="AF550" s="157"/>
      <c r="AG550" s="297"/>
    </row>
    <row r="551" spans="1:33" s="72" customFormat="1" ht="49.5" x14ac:dyDescent="0.3">
      <c r="A551" s="269"/>
      <c r="B551" s="316"/>
      <c r="C551" s="316"/>
      <c r="D551" s="269"/>
      <c r="E551" s="143"/>
      <c r="F551" s="228"/>
      <c r="G551" s="228"/>
      <c r="H551" s="143"/>
      <c r="I551" s="136"/>
      <c r="J551" s="316"/>
      <c r="K551" s="137"/>
      <c r="L551" s="314"/>
      <c r="M551" s="226" t="s">
        <v>523</v>
      </c>
      <c r="N551" s="205" t="s">
        <v>778</v>
      </c>
      <c r="O551" s="206" t="s">
        <v>779</v>
      </c>
      <c r="P551" s="206" t="s">
        <v>779</v>
      </c>
      <c r="Q551" s="338"/>
      <c r="R551" s="206" t="s">
        <v>779</v>
      </c>
      <c r="S551" s="338"/>
      <c r="T551" s="206" t="s">
        <v>779</v>
      </c>
      <c r="U551" s="177"/>
      <c r="V551" s="206" t="s">
        <v>779</v>
      </c>
      <c r="W551" s="177"/>
      <c r="X551" s="206" t="s">
        <v>779</v>
      </c>
      <c r="Y551" s="177"/>
      <c r="Z551" s="206" t="s">
        <v>779</v>
      </c>
      <c r="AA551" s="178"/>
      <c r="AB551" s="316"/>
      <c r="AC551" s="155"/>
      <c r="AD551" s="155"/>
      <c r="AE551" s="156"/>
      <c r="AF551" s="157"/>
      <c r="AG551" s="297"/>
    </row>
    <row r="552" spans="1:33" s="72" customFormat="1" ht="33" x14ac:dyDescent="0.3">
      <c r="A552" s="269"/>
      <c r="B552" s="316"/>
      <c r="C552" s="316"/>
      <c r="D552" s="269"/>
      <c r="E552" s="143"/>
      <c r="F552" s="228"/>
      <c r="G552" s="228"/>
      <c r="H552" s="143"/>
      <c r="I552" s="136"/>
      <c r="J552" s="316"/>
      <c r="K552" s="158" t="s">
        <v>294</v>
      </c>
      <c r="L552" s="159" t="s">
        <v>291</v>
      </c>
      <c r="M552" s="226" t="s">
        <v>299</v>
      </c>
      <c r="N552" s="315" t="s">
        <v>820</v>
      </c>
      <c r="O552" s="206" t="s">
        <v>804</v>
      </c>
      <c r="P552" s="206" t="s">
        <v>804</v>
      </c>
      <c r="Q552" s="338"/>
      <c r="R552" s="206" t="s">
        <v>804</v>
      </c>
      <c r="S552" s="338"/>
      <c r="T552" s="206" t="s">
        <v>804</v>
      </c>
      <c r="U552" s="177"/>
      <c r="V552" s="206" t="s">
        <v>804</v>
      </c>
      <c r="W552" s="177"/>
      <c r="X552" s="206" t="s">
        <v>804</v>
      </c>
      <c r="Y552" s="177"/>
      <c r="Z552" s="206" t="s">
        <v>804</v>
      </c>
      <c r="AA552" s="178"/>
      <c r="AB552" s="316"/>
      <c r="AC552" s="155"/>
      <c r="AD552" s="155"/>
      <c r="AE552" s="156"/>
      <c r="AF552" s="157"/>
      <c r="AG552" s="297"/>
    </row>
    <row r="553" spans="1:33" s="72" customFormat="1" ht="49.5" x14ac:dyDescent="0.3">
      <c r="A553" s="269"/>
      <c r="B553" s="316"/>
      <c r="C553" s="316"/>
      <c r="D553" s="269"/>
      <c r="E553" s="143"/>
      <c r="F553" s="228"/>
      <c r="G553" s="228"/>
      <c r="H553" s="143"/>
      <c r="I553" s="136"/>
      <c r="J553" s="316"/>
      <c r="K553" s="158"/>
      <c r="L553" s="159"/>
      <c r="M553" s="226" t="s">
        <v>303</v>
      </c>
      <c r="N553" s="315" t="s">
        <v>823</v>
      </c>
      <c r="O553" s="316">
        <f>(2*107)+(2*29)+(2*24)+(2*6)+(2*43)</f>
        <v>418</v>
      </c>
      <c r="P553" s="316">
        <f>(2*107)+(2*29)+(2*24)+(2*6)+(2*43)</f>
        <v>418</v>
      </c>
      <c r="Q553" s="338"/>
      <c r="R553" s="316">
        <f>(2*107)+(2*29)+(2*24)+(2*6)+(2*43)</f>
        <v>418</v>
      </c>
      <c r="S553" s="338"/>
      <c r="T553" s="316">
        <f>(2*107)+(2*29)+(2*24)+(2*6)+(2*43)</f>
        <v>418</v>
      </c>
      <c r="U553" s="177"/>
      <c r="V553" s="316">
        <f>(2*107)+(2*29)+(2*24)+(2*6)+(2*43)</f>
        <v>418</v>
      </c>
      <c r="W553" s="177"/>
      <c r="X553" s="316">
        <f>(2*107)+(2*29)+(2*24)+(2*6)+(2*43)</f>
        <v>418</v>
      </c>
      <c r="Y553" s="177"/>
      <c r="Z553" s="316">
        <f>(2*107)+(2*29)+(2*24)+(2*6)+(2*43)</f>
        <v>418</v>
      </c>
      <c r="AA553" s="178"/>
      <c r="AB553" s="316"/>
      <c r="AC553" s="155"/>
      <c r="AD553" s="155"/>
      <c r="AE553" s="156"/>
      <c r="AF553" s="157"/>
      <c r="AG553" s="297"/>
    </row>
    <row r="554" spans="1:33" s="72" customFormat="1" ht="66" x14ac:dyDescent="0.3">
      <c r="A554" s="269"/>
      <c r="B554" s="316"/>
      <c r="C554" s="316"/>
      <c r="D554" s="269"/>
      <c r="E554" s="143"/>
      <c r="F554" s="228"/>
      <c r="G554" s="228"/>
      <c r="H554" s="143"/>
      <c r="I554" s="136"/>
      <c r="J554" s="316"/>
      <c r="K554" s="158"/>
      <c r="L554" s="159"/>
      <c r="M554" s="226" t="s">
        <v>318</v>
      </c>
      <c r="N554" s="315" t="s">
        <v>719</v>
      </c>
      <c r="O554" s="316" t="s">
        <v>811</v>
      </c>
      <c r="P554" s="316" t="s">
        <v>811</v>
      </c>
      <c r="Q554" s="338"/>
      <c r="R554" s="316" t="s">
        <v>811</v>
      </c>
      <c r="S554" s="338"/>
      <c r="T554" s="316" t="s">
        <v>811</v>
      </c>
      <c r="U554" s="177"/>
      <c r="V554" s="316" t="s">
        <v>811</v>
      </c>
      <c r="W554" s="177"/>
      <c r="X554" s="316" t="s">
        <v>811</v>
      </c>
      <c r="Y554" s="177"/>
      <c r="Z554" s="316" t="s">
        <v>811</v>
      </c>
      <c r="AA554" s="178"/>
      <c r="AB554" s="316"/>
      <c r="AC554" s="155"/>
      <c r="AD554" s="155"/>
      <c r="AE554" s="156"/>
      <c r="AF554" s="157"/>
      <c r="AG554" s="297"/>
    </row>
    <row r="555" spans="1:33" s="72" customFormat="1" ht="66" x14ac:dyDescent="0.3">
      <c r="A555" s="269"/>
      <c r="B555" s="316"/>
      <c r="C555" s="316"/>
      <c r="D555" s="269"/>
      <c r="E555" s="143"/>
      <c r="F555" s="228"/>
      <c r="G555" s="228"/>
      <c r="H555" s="143"/>
      <c r="I555" s="136"/>
      <c r="J555" s="316"/>
      <c r="K555" s="158"/>
      <c r="L555" s="159"/>
      <c r="M555" s="226" t="s">
        <v>331</v>
      </c>
      <c r="N555" s="315" t="s">
        <v>724</v>
      </c>
      <c r="O555" s="316" t="s">
        <v>828</v>
      </c>
      <c r="P555" s="316" t="s">
        <v>828</v>
      </c>
      <c r="Q555" s="338"/>
      <c r="R555" s="316" t="s">
        <v>828</v>
      </c>
      <c r="S555" s="338"/>
      <c r="T555" s="316" t="s">
        <v>828</v>
      </c>
      <c r="U555" s="177"/>
      <c r="V555" s="316" t="s">
        <v>828</v>
      </c>
      <c r="W555" s="177"/>
      <c r="X555" s="316" t="s">
        <v>828</v>
      </c>
      <c r="Y555" s="177"/>
      <c r="Z555" s="316" t="s">
        <v>828</v>
      </c>
      <c r="AA555" s="178"/>
      <c r="AB555" s="316"/>
      <c r="AC555" s="155"/>
      <c r="AD555" s="155"/>
      <c r="AE555" s="156"/>
      <c r="AF555" s="157"/>
      <c r="AG555" s="297"/>
    </row>
    <row r="556" spans="1:33" s="72" customFormat="1" ht="82.5" x14ac:dyDescent="0.3">
      <c r="A556" s="269"/>
      <c r="B556" s="316"/>
      <c r="C556" s="316"/>
      <c r="D556" s="269"/>
      <c r="E556" s="143"/>
      <c r="F556" s="228"/>
      <c r="G556" s="228"/>
      <c r="H556" s="143"/>
      <c r="I556" s="136"/>
      <c r="J556" s="316"/>
      <c r="K556" s="158"/>
      <c r="L556" s="159"/>
      <c r="M556" s="226" t="s">
        <v>353</v>
      </c>
      <c r="N556" s="315" t="s">
        <v>720</v>
      </c>
      <c r="O556" s="316" t="s">
        <v>721</v>
      </c>
      <c r="P556" s="316" t="s">
        <v>721</v>
      </c>
      <c r="Q556" s="338"/>
      <c r="R556" s="316" t="s">
        <v>721</v>
      </c>
      <c r="S556" s="338"/>
      <c r="T556" s="316" t="s">
        <v>721</v>
      </c>
      <c r="U556" s="177"/>
      <c r="V556" s="316" t="s">
        <v>721</v>
      </c>
      <c r="W556" s="177"/>
      <c r="X556" s="316" t="s">
        <v>721</v>
      </c>
      <c r="Y556" s="177"/>
      <c r="Z556" s="316" t="s">
        <v>721</v>
      </c>
      <c r="AA556" s="178"/>
      <c r="AB556" s="316"/>
      <c r="AC556" s="155"/>
      <c r="AD556" s="155"/>
      <c r="AE556" s="156"/>
      <c r="AF556" s="157"/>
      <c r="AG556" s="297"/>
    </row>
    <row r="557" spans="1:33" s="72" customFormat="1" ht="82.5" x14ac:dyDescent="0.3">
      <c r="A557" s="269"/>
      <c r="B557" s="316"/>
      <c r="C557" s="316"/>
      <c r="D557" s="269"/>
      <c r="E557" s="143"/>
      <c r="F557" s="228"/>
      <c r="G557" s="228"/>
      <c r="H557" s="143"/>
      <c r="I557" s="136"/>
      <c r="J557" s="316"/>
      <c r="K557" s="158"/>
      <c r="L557" s="159"/>
      <c r="M557" s="226" t="s">
        <v>352</v>
      </c>
      <c r="N557" s="315" t="s">
        <v>722</v>
      </c>
      <c r="O557" s="206" t="s">
        <v>829</v>
      </c>
      <c r="P557" s="206" t="s">
        <v>829</v>
      </c>
      <c r="Q557" s="338"/>
      <c r="R557" s="206" t="s">
        <v>829</v>
      </c>
      <c r="S557" s="338"/>
      <c r="T557" s="206" t="s">
        <v>829</v>
      </c>
      <c r="U557" s="177"/>
      <c r="V557" s="206" t="s">
        <v>829</v>
      </c>
      <c r="W557" s="177"/>
      <c r="X557" s="206" t="s">
        <v>829</v>
      </c>
      <c r="Y557" s="177"/>
      <c r="Z557" s="206" t="s">
        <v>829</v>
      </c>
      <c r="AA557" s="178"/>
      <c r="AB557" s="316"/>
      <c r="AC557" s="155"/>
      <c r="AD557" s="155"/>
      <c r="AE557" s="156"/>
      <c r="AF557" s="157"/>
      <c r="AG557" s="297"/>
    </row>
    <row r="558" spans="1:33" s="72" customFormat="1" ht="82.5" x14ac:dyDescent="0.3">
      <c r="A558" s="269"/>
      <c r="B558" s="316"/>
      <c r="C558" s="316"/>
      <c r="D558" s="269"/>
      <c r="E558" s="143"/>
      <c r="F558" s="228"/>
      <c r="G558" s="228"/>
      <c r="H558" s="143"/>
      <c r="I558" s="136"/>
      <c r="J558" s="316"/>
      <c r="K558" s="158"/>
      <c r="L558" s="159"/>
      <c r="M558" s="226" t="s">
        <v>402</v>
      </c>
      <c r="N558" s="315" t="s">
        <v>723</v>
      </c>
      <c r="O558" s="316" t="s">
        <v>815</v>
      </c>
      <c r="P558" s="316" t="s">
        <v>815</v>
      </c>
      <c r="Q558" s="338"/>
      <c r="R558" s="316" t="s">
        <v>815</v>
      </c>
      <c r="S558" s="338"/>
      <c r="T558" s="316" t="s">
        <v>815</v>
      </c>
      <c r="U558" s="177"/>
      <c r="V558" s="316" t="s">
        <v>815</v>
      </c>
      <c r="W558" s="177"/>
      <c r="X558" s="316" t="s">
        <v>815</v>
      </c>
      <c r="Y558" s="177"/>
      <c r="Z558" s="316" t="s">
        <v>815</v>
      </c>
      <c r="AA558" s="178"/>
      <c r="AB558" s="316"/>
      <c r="AC558" s="155"/>
      <c r="AD558" s="155"/>
      <c r="AE558" s="156"/>
      <c r="AF558" s="157"/>
      <c r="AG558" s="297"/>
    </row>
    <row r="559" spans="1:33" s="72" customFormat="1" ht="33" x14ac:dyDescent="0.3">
      <c r="A559" s="269"/>
      <c r="B559" s="316"/>
      <c r="C559" s="316"/>
      <c r="D559" s="269"/>
      <c r="E559" s="143"/>
      <c r="F559" s="228"/>
      <c r="G559" s="228"/>
      <c r="H559" s="143"/>
      <c r="I559" s="136"/>
      <c r="J559" s="316"/>
      <c r="K559" s="158"/>
      <c r="L559" s="159"/>
      <c r="M559" s="226" t="s">
        <v>453</v>
      </c>
      <c r="N559" s="315" t="s">
        <v>831</v>
      </c>
      <c r="O559" s="206" t="s">
        <v>817</v>
      </c>
      <c r="P559" s="206" t="s">
        <v>817</v>
      </c>
      <c r="Q559" s="338"/>
      <c r="R559" s="206" t="s">
        <v>817</v>
      </c>
      <c r="S559" s="338"/>
      <c r="T559" s="206" t="s">
        <v>817</v>
      </c>
      <c r="U559" s="177"/>
      <c r="V559" s="206" t="s">
        <v>817</v>
      </c>
      <c r="W559" s="177"/>
      <c r="X559" s="206" t="s">
        <v>817</v>
      </c>
      <c r="Y559" s="177"/>
      <c r="Z559" s="206" t="s">
        <v>817</v>
      </c>
      <c r="AA559" s="178"/>
      <c r="AB559" s="316"/>
      <c r="AC559" s="155"/>
      <c r="AD559" s="155"/>
      <c r="AE559" s="156"/>
      <c r="AF559" s="157"/>
      <c r="AG559" s="297"/>
    </row>
    <row r="560" spans="1:33" s="72" customFormat="1" ht="49.5" x14ac:dyDescent="0.3">
      <c r="A560" s="269"/>
      <c r="B560" s="316"/>
      <c r="C560" s="316"/>
      <c r="D560" s="269"/>
      <c r="E560" s="143"/>
      <c r="F560" s="228"/>
      <c r="G560" s="228"/>
      <c r="H560" s="143"/>
      <c r="I560" s="136"/>
      <c r="J560" s="316"/>
      <c r="K560" s="158"/>
      <c r="L560" s="159"/>
      <c r="M560" s="226" t="s">
        <v>454</v>
      </c>
      <c r="N560" s="315" t="s">
        <v>819</v>
      </c>
      <c r="O560" s="316" t="s">
        <v>432</v>
      </c>
      <c r="P560" s="316" t="s">
        <v>432</v>
      </c>
      <c r="Q560" s="338"/>
      <c r="R560" s="316" t="s">
        <v>432</v>
      </c>
      <c r="S560" s="338"/>
      <c r="T560" s="316" t="s">
        <v>432</v>
      </c>
      <c r="U560" s="177"/>
      <c r="V560" s="316" t="s">
        <v>432</v>
      </c>
      <c r="W560" s="177"/>
      <c r="X560" s="316" t="s">
        <v>432</v>
      </c>
      <c r="Y560" s="177"/>
      <c r="Z560" s="316" t="s">
        <v>432</v>
      </c>
      <c r="AA560" s="178"/>
      <c r="AB560" s="316"/>
      <c r="AC560" s="155"/>
      <c r="AD560" s="155"/>
      <c r="AE560" s="156"/>
      <c r="AF560" s="157"/>
      <c r="AG560" s="297"/>
    </row>
    <row r="561" spans="1:33" s="72" customFormat="1" ht="66" x14ac:dyDescent="0.3">
      <c r="A561" s="269"/>
      <c r="B561" s="316"/>
      <c r="C561" s="316"/>
      <c r="D561" s="269"/>
      <c r="E561" s="143"/>
      <c r="F561" s="143"/>
      <c r="G561" s="143"/>
      <c r="H561" s="143"/>
      <c r="I561" s="143"/>
      <c r="J561" s="316"/>
      <c r="K561" s="158"/>
      <c r="L561" s="159"/>
      <c r="M561" s="226" t="s">
        <v>521</v>
      </c>
      <c r="N561" s="315" t="s">
        <v>832</v>
      </c>
      <c r="O561" s="316" t="s">
        <v>775</v>
      </c>
      <c r="P561" s="316" t="s">
        <v>775</v>
      </c>
      <c r="Q561" s="338"/>
      <c r="R561" s="316" t="s">
        <v>775</v>
      </c>
      <c r="S561" s="338"/>
      <c r="T561" s="316" t="s">
        <v>775</v>
      </c>
      <c r="U561" s="177"/>
      <c r="V561" s="316" t="s">
        <v>775</v>
      </c>
      <c r="W561" s="177"/>
      <c r="X561" s="316" t="s">
        <v>775</v>
      </c>
      <c r="Y561" s="177"/>
      <c r="Z561" s="316" t="s">
        <v>775</v>
      </c>
      <c r="AA561" s="178"/>
      <c r="AB561" s="316"/>
      <c r="AC561" s="155"/>
      <c r="AD561" s="155"/>
      <c r="AE561" s="156"/>
      <c r="AF561" s="157"/>
      <c r="AG561" s="297"/>
    </row>
    <row r="562" spans="1:33" s="72" customFormat="1" ht="82.5" x14ac:dyDescent="0.3">
      <c r="A562" s="269"/>
      <c r="B562" s="316"/>
      <c r="C562" s="316"/>
      <c r="D562" s="269"/>
      <c r="E562" s="143"/>
      <c r="F562" s="143"/>
      <c r="G562" s="143"/>
      <c r="H562" s="143"/>
      <c r="I562" s="143"/>
      <c r="J562" s="316"/>
      <c r="K562" s="158"/>
      <c r="L562" s="159"/>
      <c r="M562" s="226" t="s">
        <v>522</v>
      </c>
      <c r="N562" s="315" t="s">
        <v>795</v>
      </c>
      <c r="O562" s="206" t="s">
        <v>777</v>
      </c>
      <c r="P562" s="206" t="s">
        <v>777</v>
      </c>
      <c r="Q562" s="338"/>
      <c r="R562" s="206" t="s">
        <v>777</v>
      </c>
      <c r="S562" s="338"/>
      <c r="T562" s="206" t="s">
        <v>777</v>
      </c>
      <c r="U562" s="177"/>
      <c r="V562" s="206" t="s">
        <v>777</v>
      </c>
      <c r="W562" s="177"/>
      <c r="X562" s="206" t="s">
        <v>777</v>
      </c>
      <c r="Y562" s="177"/>
      <c r="Z562" s="206" t="s">
        <v>777</v>
      </c>
      <c r="AA562" s="178"/>
      <c r="AB562" s="316"/>
      <c r="AC562" s="155"/>
      <c r="AD562" s="155"/>
      <c r="AE562" s="156"/>
      <c r="AF562" s="157"/>
      <c r="AG562" s="297"/>
    </row>
    <row r="563" spans="1:33" s="72" customFormat="1" ht="66" x14ac:dyDescent="0.3">
      <c r="A563" s="269"/>
      <c r="B563" s="316"/>
      <c r="C563" s="316"/>
      <c r="D563" s="269"/>
      <c r="E563" s="143"/>
      <c r="F563" s="143"/>
      <c r="G563" s="143"/>
      <c r="H563" s="143"/>
      <c r="I563" s="143"/>
      <c r="J563" s="316"/>
      <c r="K563" s="158"/>
      <c r="L563" s="159"/>
      <c r="M563" s="226" t="s">
        <v>523</v>
      </c>
      <c r="N563" s="315" t="s">
        <v>678</v>
      </c>
      <c r="O563" s="316" t="s">
        <v>679</v>
      </c>
      <c r="P563" s="316" t="s">
        <v>679</v>
      </c>
      <c r="Q563" s="338"/>
      <c r="R563" s="316" t="s">
        <v>679</v>
      </c>
      <c r="S563" s="338"/>
      <c r="T563" s="316" t="s">
        <v>679</v>
      </c>
      <c r="U563" s="177"/>
      <c r="V563" s="316" t="s">
        <v>679</v>
      </c>
      <c r="W563" s="177"/>
      <c r="X563" s="316" t="s">
        <v>679</v>
      </c>
      <c r="Y563" s="177"/>
      <c r="Z563" s="316" t="s">
        <v>679</v>
      </c>
      <c r="AA563" s="178"/>
      <c r="AB563" s="316"/>
      <c r="AC563" s="155"/>
      <c r="AD563" s="155"/>
      <c r="AE563" s="156"/>
      <c r="AF563" s="157"/>
      <c r="AG563" s="297"/>
    </row>
    <row r="564" spans="1:33" s="72" customFormat="1" ht="33" x14ac:dyDescent="0.3">
      <c r="A564" s="269"/>
      <c r="B564" s="316"/>
      <c r="C564" s="316"/>
      <c r="D564" s="269"/>
      <c r="E564" s="143"/>
      <c r="F564" s="143"/>
      <c r="G564" s="143"/>
      <c r="H564" s="143"/>
      <c r="I564" s="143"/>
      <c r="J564" s="316"/>
      <c r="K564" s="137" t="s">
        <v>295</v>
      </c>
      <c r="L564" s="314" t="s">
        <v>291</v>
      </c>
      <c r="M564" s="519" t="s">
        <v>689</v>
      </c>
      <c r="N564" s="520"/>
      <c r="O564" s="137"/>
      <c r="P564" s="137"/>
      <c r="Q564" s="338"/>
      <c r="R564" s="137"/>
      <c r="S564" s="338"/>
      <c r="T564" s="137"/>
      <c r="U564" s="177"/>
      <c r="V564" s="137"/>
      <c r="W564" s="177"/>
      <c r="X564" s="137"/>
      <c r="Y564" s="177"/>
      <c r="Z564" s="137"/>
      <c r="AA564" s="178"/>
      <c r="AB564" s="316"/>
      <c r="AC564" s="155"/>
      <c r="AD564" s="155"/>
      <c r="AE564" s="156"/>
      <c r="AF564" s="157"/>
      <c r="AG564" s="297"/>
    </row>
    <row r="565" spans="1:33" s="72" customFormat="1" ht="33" x14ac:dyDescent="0.3">
      <c r="A565" s="269"/>
      <c r="B565" s="179"/>
      <c r="C565" s="179"/>
      <c r="D565" s="298"/>
      <c r="E565" s="180"/>
      <c r="F565" s="238"/>
      <c r="G565" s="238"/>
      <c r="H565" s="180"/>
      <c r="I565" s="181"/>
      <c r="J565" s="179"/>
      <c r="K565" s="183" t="s">
        <v>297</v>
      </c>
      <c r="L565" s="182" t="s">
        <v>291</v>
      </c>
      <c r="M565" s="230" t="s">
        <v>501</v>
      </c>
      <c r="N565" s="227"/>
      <c r="O565" s="183"/>
      <c r="P565" s="183"/>
      <c r="Q565" s="339"/>
      <c r="R565" s="183"/>
      <c r="S565" s="339"/>
      <c r="T565" s="183"/>
      <c r="U565" s="347"/>
      <c r="V565" s="183"/>
      <c r="W565" s="347"/>
      <c r="X565" s="183"/>
      <c r="Y565" s="347"/>
      <c r="Z565" s="183"/>
      <c r="AA565" s="350"/>
      <c r="AB565" s="179"/>
      <c r="AC565" s="187"/>
      <c r="AD565" s="187"/>
      <c r="AE565" s="188"/>
      <c r="AF565" s="189"/>
      <c r="AG565" s="299"/>
    </row>
    <row r="566" spans="1:33" s="76" customFormat="1" x14ac:dyDescent="0.3">
      <c r="A566" s="269"/>
      <c r="B566" s="316"/>
      <c r="C566" s="316"/>
      <c r="D566" s="269"/>
      <c r="E566" s="143"/>
      <c r="F566" s="143"/>
      <c r="G566" s="143"/>
      <c r="H566" s="143"/>
      <c r="I566" s="143"/>
      <c r="J566" s="316"/>
      <c r="K566" s="158"/>
      <c r="L566" s="159"/>
      <c r="M566" s="159"/>
      <c r="N566" s="315"/>
      <c r="O566" s="316"/>
      <c r="P566" s="316"/>
      <c r="Q566" s="338"/>
      <c r="R566" s="316"/>
      <c r="S566" s="338"/>
      <c r="T566" s="316"/>
      <c r="U566" s="177"/>
      <c r="V566" s="316"/>
      <c r="W566" s="177"/>
      <c r="X566" s="316"/>
      <c r="Y566" s="177"/>
      <c r="Z566" s="316"/>
      <c r="AA566" s="178"/>
      <c r="AB566" s="316"/>
      <c r="AC566" s="155"/>
      <c r="AD566" s="155"/>
      <c r="AE566" s="156"/>
      <c r="AF566" s="157"/>
      <c r="AG566" s="297"/>
    </row>
    <row r="567" spans="1:33" s="87" customFormat="1" ht="198" x14ac:dyDescent="0.35">
      <c r="A567" s="270"/>
      <c r="B567" s="127" t="s">
        <v>1059</v>
      </c>
      <c r="C567" s="307" t="s">
        <v>1060</v>
      </c>
      <c r="D567" s="308" t="s">
        <v>1063</v>
      </c>
      <c r="E567" s="128">
        <v>1</v>
      </c>
      <c r="F567" s="235" t="s">
        <v>131</v>
      </c>
      <c r="G567" s="235" t="s">
        <v>131</v>
      </c>
      <c r="H567" s="128">
        <v>13</v>
      </c>
      <c r="I567" s="128"/>
      <c r="J567" s="127" t="s">
        <v>393</v>
      </c>
      <c r="K567" s="516" t="s">
        <v>833</v>
      </c>
      <c r="L567" s="517"/>
      <c r="M567" s="517"/>
      <c r="N567" s="518"/>
      <c r="O567" s="359">
        <v>0.6</v>
      </c>
      <c r="P567" s="359">
        <v>0.66</v>
      </c>
      <c r="Q567" s="333">
        <f>SUM(Q569:Q624)</f>
        <v>4693740000</v>
      </c>
      <c r="R567" s="309">
        <v>0.72</v>
      </c>
      <c r="S567" s="333">
        <f>SUM(S569:S624)</f>
        <v>5163114000</v>
      </c>
      <c r="T567" s="309">
        <v>0.78</v>
      </c>
      <c r="U567" s="333">
        <f>SUM(U569:U624)</f>
        <v>5679425400</v>
      </c>
      <c r="V567" s="309">
        <v>0.84</v>
      </c>
      <c r="W567" s="333">
        <f>SUM(W569:W624)</f>
        <v>6247367940</v>
      </c>
      <c r="X567" s="309">
        <v>0.9</v>
      </c>
      <c r="Y567" s="333">
        <f>SUM(Y569:Y624)</f>
        <v>6872104734</v>
      </c>
      <c r="Z567" s="309">
        <v>0.9</v>
      </c>
      <c r="AA567" s="351">
        <f>Y567+W567+U567+S567+Q567</f>
        <v>28655752074</v>
      </c>
      <c r="AB567" s="127" t="s">
        <v>66</v>
      </c>
      <c r="AC567" s="224"/>
      <c r="AD567" s="224"/>
      <c r="AE567" s="203"/>
      <c r="AF567" s="204"/>
      <c r="AG567" s="127" t="s">
        <v>134</v>
      </c>
    </row>
    <row r="568" spans="1:33" s="87" customFormat="1" ht="180" x14ac:dyDescent="0.35">
      <c r="A568" s="270"/>
      <c r="B568" s="127"/>
      <c r="C568" s="127" t="s">
        <v>287</v>
      </c>
      <c r="D568" s="307" t="s">
        <v>834</v>
      </c>
      <c r="E568" s="247"/>
      <c r="F568" s="247"/>
      <c r="G568" s="247"/>
      <c r="H568" s="247"/>
      <c r="I568" s="247"/>
      <c r="J568" s="248"/>
      <c r="K568" s="516" t="s">
        <v>834</v>
      </c>
      <c r="L568" s="517"/>
      <c r="M568" s="517"/>
      <c r="N568" s="518"/>
      <c r="O568" s="360" t="s">
        <v>835</v>
      </c>
      <c r="P568" s="360" t="s">
        <v>1030</v>
      </c>
      <c r="Q568" s="333"/>
      <c r="R568" s="310" t="s">
        <v>1031</v>
      </c>
      <c r="S568" s="333"/>
      <c r="T568" s="310" t="s">
        <v>1044</v>
      </c>
      <c r="U568" s="346"/>
      <c r="V568" s="310" t="s">
        <v>1045</v>
      </c>
      <c r="W568" s="346"/>
      <c r="X568" s="310" t="s">
        <v>1046</v>
      </c>
      <c r="Y568" s="346"/>
      <c r="Z568" s="310" t="s">
        <v>1046</v>
      </c>
      <c r="AA568" s="351"/>
      <c r="AB568" s="127"/>
      <c r="AC568" s="224"/>
      <c r="AD568" s="224"/>
      <c r="AE568" s="203"/>
      <c r="AF568" s="204"/>
      <c r="AG568" s="250"/>
    </row>
    <row r="569" spans="1:33" ht="33" x14ac:dyDescent="0.3">
      <c r="B569" s="316"/>
      <c r="C569" s="316"/>
      <c r="E569" s="143">
        <v>1</v>
      </c>
      <c r="F569" s="228" t="s">
        <v>131</v>
      </c>
      <c r="G569" s="228" t="s">
        <v>131</v>
      </c>
      <c r="H569" s="143">
        <v>13</v>
      </c>
      <c r="I569" s="136">
        <v>1</v>
      </c>
      <c r="J569" s="316" t="s">
        <v>394</v>
      </c>
      <c r="K569" s="158" t="s">
        <v>290</v>
      </c>
      <c r="L569" s="159" t="s">
        <v>291</v>
      </c>
      <c r="M569" s="514" t="s">
        <v>312</v>
      </c>
      <c r="N569" s="515"/>
      <c r="O569" s="316" t="s">
        <v>301</v>
      </c>
      <c r="P569" s="316" t="s">
        <v>301</v>
      </c>
      <c r="Q569" s="338">
        <v>4036852000</v>
      </c>
      <c r="R569" s="316" t="s">
        <v>301</v>
      </c>
      <c r="S569" s="334">
        <f>Q569+(Q569*10%)+800</f>
        <v>4440538000</v>
      </c>
      <c r="T569" s="316" t="s">
        <v>301</v>
      </c>
      <c r="U569" s="334">
        <f>S569+(S569*10%)+600</f>
        <v>4884592400</v>
      </c>
      <c r="V569" s="316" t="s">
        <v>301</v>
      </c>
      <c r="W569" s="334">
        <f>U569+(U569*10%)+9700-9400</f>
        <v>5373051940</v>
      </c>
      <c r="X569" s="316" t="s">
        <v>301</v>
      </c>
      <c r="Y569" s="334">
        <f>W569+(W569*10%)+600</f>
        <v>5910357734</v>
      </c>
      <c r="Z569" s="316" t="s">
        <v>301</v>
      </c>
      <c r="AA569" s="178">
        <f>Y569+W569+U569+S569+Q569</f>
        <v>24645392074</v>
      </c>
      <c r="AB569" s="316" t="s">
        <v>66</v>
      </c>
      <c r="AC569" s="155"/>
      <c r="AD569" s="155"/>
      <c r="AE569" s="156"/>
      <c r="AF569" s="157"/>
      <c r="AG569" s="316" t="s">
        <v>164</v>
      </c>
    </row>
    <row r="570" spans="1:33" ht="66" x14ac:dyDescent="0.3">
      <c r="B570" s="316"/>
      <c r="C570" s="316"/>
      <c r="E570" s="143"/>
      <c r="F570" s="228"/>
      <c r="G570" s="228"/>
      <c r="H570" s="143"/>
      <c r="I570" s="136"/>
      <c r="J570" s="316"/>
      <c r="K570" s="158" t="s">
        <v>293</v>
      </c>
      <c r="L570" s="159" t="s">
        <v>291</v>
      </c>
      <c r="M570" s="160" t="s">
        <v>299</v>
      </c>
      <c r="N570" s="315" t="s">
        <v>836</v>
      </c>
      <c r="O570" s="316" t="s">
        <v>837</v>
      </c>
      <c r="P570" s="316" t="s">
        <v>837</v>
      </c>
      <c r="Q570" s="338"/>
      <c r="R570" s="316" t="s">
        <v>837</v>
      </c>
      <c r="S570" s="338"/>
      <c r="T570" s="316" t="s">
        <v>837</v>
      </c>
      <c r="U570" s="177"/>
      <c r="V570" s="316" t="s">
        <v>837</v>
      </c>
      <c r="W570" s="177"/>
      <c r="X570" s="316" t="s">
        <v>837</v>
      </c>
      <c r="Y570" s="177"/>
      <c r="Z570" s="316" t="s">
        <v>837</v>
      </c>
      <c r="AA570" s="178"/>
      <c r="AB570" s="316"/>
      <c r="AC570" s="155"/>
      <c r="AD570" s="155"/>
      <c r="AE570" s="156"/>
      <c r="AF570" s="157"/>
      <c r="AG570" s="297"/>
    </row>
    <row r="571" spans="1:33" ht="82.5" x14ac:dyDescent="0.3">
      <c r="B571" s="316"/>
      <c r="C571" s="316"/>
      <c r="E571" s="143"/>
      <c r="F571" s="228"/>
      <c r="G571" s="228"/>
      <c r="H571" s="143"/>
      <c r="I571" s="136"/>
      <c r="J571" s="316"/>
      <c r="K571" s="158"/>
      <c r="L571" s="159"/>
      <c r="M571" s="160" t="s">
        <v>303</v>
      </c>
      <c r="N571" s="315" t="s">
        <v>838</v>
      </c>
      <c r="O571" s="316" t="s">
        <v>839</v>
      </c>
      <c r="P571" s="316" t="s">
        <v>839</v>
      </c>
      <c r="Q571" s="338"/>
      <c r="R571" s="316" t="s">
        <v>839</v>
      </c>
      <c r="S571" s="338"/>
      <c r="T571" s="316" t="s">
        <v>839</v>
      </c>
      <c r="U571" s="177"/>
      <c r="V571" s="316" t="s">
        <v>839</v>
      </c>
      <c r="W571" s="177"/>
      <c r="X571" s="316" t="s">
        <v>839</v>
      </c>
      <c r="Y571" s="177"/>
      <c r="Z571" s="316" t="s">
        <v>839</v>
      </c>
      <c r="AA571" s="178"/>
      <c r="AB571" s="316"/>
      <c r="AC571" s="155"/>
      <c r="AD571" s="155"/>
      <c r="AE571" s="156"/>
      <c r="AF571" s="157"/>
      <c r="AG571" s="297"/>
    </row>
    <row r="572" spans="1:33" ht="66" x14ac:dyDescent="0.3">
      <c r="B572" s="316"/>
      <c r="C572" s="316"/>
      <c r="E572" s="143"/>
      <c r="F572" s="228"/>
      <c r="G572" s="228"/>
      <c r="H572" s="143"/>
      <c r="I572" s="136"/>
      <c r="J572" s="316"/>
      <c r="K572" s="158"/>
      <c r="L572" s="159"/>
      <c r="M572" s="160" t="s">
        <v>318</v>
      </c>
      <c r="N572" s="315" t="s">
        <v>840</v>
      </c>
      <c r="O572" s="316" t="s">
        <v>841</v>
      </c>
      <c r="P572" s="316" t="s">
        <v>841</v>
      </c>
      <c r="Q572" s="338"/>
      <c r="R572" s="316" t="s">
        <v>841</v>
      </c>
      <c r="S572" s="338"/>
      <c r="T572" s="316" t="s">
        <v>841</v>
      </c>
      <c r="U572" s="177"/>
      <c r="V572" s="316" t="s">
        <v>841</v>
      </c>
      <c r="W572" s="177"/>
      <c r="X572" s="316" t="s">
        <v>841</v>
      </c>
      <c r="Y572" s="177"/>
      <c r="Z572" s="316" t="s">
        <v>841</v>
      </c>
      <c r="AA572" s="178"/>
      <c r="AB572" s="316"/>
      <c r="AC572" s="155"/>
      <c r="AD572" s="155"/>
      <c r="AE572" s="156"/>
      <c r="AF572" s="157"/>
      <c r="AG572" s="297"/>
    </row>
    <row r="573" spans="1:33" ht="66" x14ac:dyDescent="0.3">
      <c r="B573" s="316"/>
      <c r="C573" s="316"/>
      <c r="E573" s="143"/>
      <c r="F573" s="228"/>
      <c r="G573" s="228"/>
      <c r="H573" s="143"/>
      <c r="I573" s="136"/>
      <c r="J573" s="316"/>
      <c r="K573" s="158"/>
      <c r="L573" s="159"/>
      <c r="M573" s="160" t="s">
        <v>331</v>
      </c>
      <c r="N573" s="205" t="s">
        <v>842</v>
      </c>
      <c r="O573" s="206" t="s">
        <v>843</v>
      </c>
      <c r="P573" s="206" t="s">
        <v>843</v>
      </c>
      <c r="Q573" s="338"/>
      <c r="R573" s="206" t="s">
        <v>843</v>
      </c>
      <c r="S573" s="338"/>
      <c r="T573" s="206" t="s">
        <v>843</v>
      </c>
      <c r="U573" s="177"/>
      <c r="V573" s="206" t="s">
        <v>843</v>
      </c>
      <c r="W573" s="177"/>
      <c r="X573" s="206" t="s">
        <v>843</v>
      </c>
      <c r="Y573" s="177"/>
      <c r="Z573" s="206" t="s">
        <v>843</v>
      </c>
      <c r="AA573" s="178"/>
      <c r="AB573" s="316"/>
      <c r="AC573" s="155"/>
      <c r="AD573" s="155"/>
      <c r="AE573" s="156"/>
      <c r="AF573" s="157"/>
      <c r="AG573" s="297"/>
    </row>
    <row r="574" spans="1:33" ht="33" x14ac:dyDescent="0.3">
      <c r="B574" s="316"/>
      <c r="C574" s="316"/>
      <c r="E574" s="143"/>
      <c r="F574" s="228"/>
      <c r="G574" s="228"/>
      <c r="H574" s="143"/>
      <c r="I574" s="136"/>
      <c r="J574" s="316"/>
      <c r="K574" s="158"/>
      <c r="L574" s="159"/>
      <c r="M574" s="160" t="s">
        <v>353</v>
      </c>
      <c r="N574" s="205" t="s">
        <v>844</v>
      </c>
      <c r="O574" s="206" t="s">
        <v>845</v>
      </c>
      <c r="P574" s="206" t="s">
        <v>845</v>
      </c>
      <c r="Q574" s="338"/>
      <c r="R574" s="206" t="s">
        <v>845</v>
      </c>
      <c r="S574" s="338"/>
      <c r="T574" s="206" t="s">
        <v>845</v>
      </c>
      <c r="U574" s="177"/>
      <c r="V574" s="206" t="s">
        <v>845</v>
      </c>
      <c r="W574" s="177"/>
      <c r="X574" s="206" t="s">
        <v>845</v>
      </c>
      <c r="Y574" s="177"/>
      <c r="Z574" s="206" t="s">
        <v>845</v>
      </c>
      <c r="AA574" s="178"/>
      <c r="AB574" s="316"/>
      <c r="AC574" s="155"/>
      <c r="AD574" s="155"/>
      <c r="AE574" s="156"/>
      <c r="AF574" s="157"/>
      <c r="AG574" s="297"/>
    </row>
    <row r="575" spans="1:33" ht="33" x14ac:dyDescent="0.3">
      <c r="B575" s="316"/>
      <c r="C575" s="316"/>
      <c r="E575" s="143"/>
      <c r="F575" s="228"/>
      <c r="G575" s="228"/>
      <c r="H575" s="143"/>
      <c r="I575" s="136"/>
      <c r="J575" s="316"/>
      <c r="K575" s="158"/>
      <c r="L575" s="159"/>
      <c r="M575" s="160" t="s">
        <v>352</v>
      </c>
      <c r="N575" s="205" t="s">
        <v>846</v>
      </c>
      <c r="O575" s="206" t="s">
        <v>847</v>
      </c>
      <c r="P575" s="206" t="s">
        <v>847</v>
      </c>
      <c r="Q575" s="338"/>
      <c r="R575" s="206" t="s">
        <v>847</v>
      </c>
      <c r="S575" s="338"/>
      <c r="T575" s="206" t="s">
        <v>847</v>
      </c>
      <c r="U575" s="177"/>
      <c r="V575" s="206" t="s">
        <v>847</v>
      </c>
      <c r="W575" s="177"/>
      <c r="X575" s="206" t="s">
        <v>847</v>
      </c>
      <c r="Y575" s="177"/>
      <c r="Z575" s="206" t="s">
        <v>847</v>
      </c>
      <c r="AA575" s="178"/>
      <c r="AB575" s="316"/>
      <c r="AC575" s="155"/>
      <c r="AD575" s="155"/>
      <c r="AE575" s="156"/>
      <c r="AF575" s="157"/>
      <c r="AG575" s="297"/>
    </row>
    <row r="576" spans="1:33" ht="49.5" x14ac:dyDescent="0.3">
      <c r="B576" s="316"/>
      <c r="C576" s="316"/>
      <c r="E576" s="143"/>
      <c r="F576" s="228"/>
      <c r="G576" s="228"/>
      <c r="H576" s="143"/>
      <c r="I576" s="136"/>
      <c r="J576" s="316"/>
      <c r="K576" s="137"/>
      <c r="L576" s="314"/>
      <c r="M576" s="226" t="s">
        <v>402</v>
      </c>
      <c r="N576" s="315" t="s">
        <v>848</v>
      </c>
      <c r="O576" s="316" t="s">
        <v>849</v>
      </c>
      <c r="P576" s="316" t="s">
        <v>849</v>
      </c>
      <c r="Q576" s="338"/>
      <c r="R576" s="316" t="s">
        <v>849</v>
      </c>
      <c r="S576" s="338"/>
      <c r="T576" s="316" t="s">
        <v>849</v>
      </c>
      <c r="U576" s="177"/>
      <c r="V576" s="316" t="s">
        <v>849</v>
      </c>
      <c r="W576" s="177"/>
      <c r="X576" s="316" t="s">
        <v>849</v>
      </c>
      <c r="Y576" s="177"/>
      <c r="Z576" s="316" t="s">
        <v>849</v>
      </c>
      <c r="AA576" s="178"/>
      <c r="AB576" s="316"/>
      <c r="AC576" s="155"/>
      <c r="AD576" s="155"/>
      <c r="AE576" s="156"/>
      <c r="AF576" s="157"/>
      <c r="AG576" s="297"/>
    </row>
    <row r="577" spans="2:33" ht="49.5" x14ac:dyDescent="0.3">
      <c r="B577" s="316"/>
      <c r="C577" s="316"/>
      <c r="E577" s="143"/>
      <c r="F577" s="228"/>
      <c r="G577" s="228"/>
      <c r="H577" s="143"/>
      <c r="I577" s="136"/>
      <c r="J577" s="316"/>
      <c r="K577" s="137"/>
      <c r="L577" s="314"/>
      <c r="M577" s="226" t="s">
        <v>453</v>
      </c>
      <c r="N577" s="205" t="s">
        <v>850</v>
      </c>
      <c r="O577" s="206" t="s">
        <v>146</v>
      </c>
      <c r="P577" s="206" t="s">
        <v>146</v>
      </c>
      <c r="Q577" s="338"/>
      <c r="R577" s="206" t="s">
        <v>146</v>
      </c>
      <c r="S577" s="338"/>
      <c r="T577" s="206" t="s">
        <v>146</v>
      </c>
      <c r="U577" s="177"/>
      <c r="V577" s="206" t="s">
        <v>146</v>
      </c>
      <c r="W577" s="177"/>
      <c r="X577" s="206" t="s">
        <v>146</v>
      </c>
      <c r="Y577" s="177"/>
      <c r="Z577" s="206" t="s">
        <v>146</v>
      </c>
      <c r="AA577" s="178"/>
      <c r="AB577" s="316"/>
      <c r="AC577" s="155"/>
      <c r="AD577" s="155"/>
      <c r="AE577" s="156"/>
      <c r="AF577" s="157"/>
      <c r="AG577" s="297"/>
    </row>
    <row r="578" spans="2:33" x14ac:dyDescent="0.3">
      <c r="B578" s="316"/>
      <c r="C578" s="316"/>
      <c r="E578" s="143"/>
      <c r="F578" s="228"/>
      <c r="G578" s="228"/>
      <c r="H578" s="143"/>
      <c r="I578" s="136"/>
      <c r="J578" s="316"/>
      <c r="K578" s="137"/>
      <c r="L578" s="314"/>
      <c r="M578" s="226" t="s">
        <v>454</v>
      </c>
      <c r="N578" s="205" t="s">
        <v>851</v>
      </c>
      <c r="O578" s="206" t="s">
        <v>360</v>
      </c>
      <c r="P578" s="206" t="s">
        <v>360</v>
      </c>
      <c r="Q578" s="338"/>
      <c r="R578" s="206" t="s">
        <v>360</v>
      </c>
      <c r="S578" s="338"/>
      <c r="T578" s="206" t="s">
        <v>360</v>
      </c>
      <c r="U578" s="177"/>
      <c r="V578" s="206" t="s">
        <v>360</v>
      </c>
      <c r="W578" s="177"/>
      <c r="X578" s="206" t="s">
        <v>360</v>
      </c>
      <c r="Y578" s="177"/>
      <c r="Z578" s="206" t="s">
        <v>360</v>
      </c>
      <c r="AA578" s="178"/>
      <c r="AB578" s="316"/>
      <c r="AC578" s="155"/>
      <c r="AD578" s="155"/>
      <c r="AE578" s="156"/>
      <c r="AF578" s="157"/>
      <c r="AG578" s="297"/>
    </row>
    <row r="579" spans="2:33" ht="33" x14ac:dyDescent="0.3">
      <c r="B579" s="316"/>
      <c r="C579" s="316"/>
      <c r="E579" s="143"/>
      <c r="F579" s="228"/>
      <c r="G579" s="228"/>
      <c r="H579" s="143"/>
      <c r="I579" s="136"/>
      <c r="J579" s="316"/>
      <c r="K579" s="137"/>
      <c r="L579" s="314"/>
      <c r="M579" s="226" t="s">
        <v>521</v>
      </c>
      <c r="N579" s="205" t="s">
        <v>852</v>
      </c>
      <c r="O579" s="206" t="s">
        <v>853</v>
      </c>
      <c r="P579" s="206" t="s">
        <v>853</v>
      </c>
      <c r="Q579" s="338"/>
      <c r="R579" s="206" t="s">
        <v>853</v>
      </c>
      <c r="S579" s="338"/>
      <c r="T579" s="206" t="s">
        <v>853</v>
      </c>
      <c r="U579" s="177"/>
      <c r="V579" s="206" t="s">
        <v>853</v>
      </c>
      <c r="W579" s="177"/>
      <c r="X579" s="206" t="s">
        <v>853</v>
      </c>
      <c r="Y579" s="177"/>
      <c r="Z579" s="206" t="s">
        <v>853</v>
      </c>
      <c r="AA579" s="178"/>
      <c r="AB579" s="316"/>
      <c r="AC579" s="155"/>
      <c r="AD579" s="155"/>
      <c r="AE579" s="156"/>
      <c r="AF579" s="157"/>
      <c r="AG579" s="297"/>
    </row>
    <row r="580" spans="2:33" ht="66" x14ac:dyDescent="0.3">
      <c r="B580" s="316"/>
      <c r="C580" s="316"/>
      <c r="E580" s="143"/>
      <c r="F580" s="228"/>
      <c r="G580" s="228"/>
      <c r="H580" s="143"/>
      <c r="I580" s="136"/>
      <c r="J580" s="316"/>
      <c r="K580" s="158" t="s">
        <v>294</v>
      </c>
      <c r="L580" s="159" t="s">
        <v>291</v>
      </c>
      <c r="M580" s="226" t="s">
        <v>299</v>
      </c>
      <c r="N580" s="315" t="s">
        <v>854</v>
      </c>
      <c r="O580" s="316" t="s">
        <v>837</v>
      </c>
      <c r="P580" s="316" t="s">
        <v>837</v>
      </c>
      <c r="Q580" s="338"/>
      <c r="R580" s="316" t="s">
        <v>837</v>
      </c>
      <c r="S580" s="338"/>
      <c r="T580" s="316" t="s">
        <v>837</v>
      </c>
      <c r="U580" s="177"/>
      <c r="V580" s="316" t="s">
        <v>837</v>
      </c>
      <c r="W580" s="177"/>
      <c r="X580" s="316" t="s">
        <v>837</v>
      </c>
      <c r="Y580" s="177"/>
      <c r="Z580" s="316" t="s">
        <v>837</v>
      </c>
      <c r="AA580" s="178"/>
      <c r="AB580" s="316"/>
      <c r="AC580" s="155"/>
      <c r="AD580" s="155"/>
      <c r="AE580" s="156"/>
      <c r="AF580" s="157"/>
      <c r="AG580" s="297"/>
    </row>
    <row r="581" spans="2:33" ht="66" x14ac:dyDescent="0.3">
      <c r="B581" s="316"/>
      <c r="C581" s="316"/>
      <c r="E581" s="143"/>
      <c r="F581" s="228"/>
      <c r="G581" s="228"/>
      <c r="H581" s="143"/>
      <c r="I581" s="136"/>
      <c r="J581" s="316"/>
      <c r="K581" s="158"/>
      <c r="L581" s="159"/>
      <c r="M581" s="226" t="s">
        <v>303</v>
      </c>
      <c r="N581" s="315" t="s">
        <v>854</v>
      </c>
      <c r="O581" s="316" t="s">
        <v>839</v>
      </c>
      <c r="P581" s="316" t="s">
        <v>839</v>
      </c>
      <c r="Q581" s="338"/>
      <c r="R581" s="316" t="s">
        <v>839</v>
      </c>
      <c r="S581" s="338"/>
      <c r="T581" s="316" t="s">
        <v>839</v>
      </c>
      <c r="U581" s="177"/>
      <c r="V581" s="316" t="s">
        <v>839</v>
      </c>
      <c r="W581" s="177"/>
      <c r="X581" s="316" t="s">
        <v>839</v>
      </c>
      <c r="Y581" s="177"/>
      <c r="Z581" s="316" t="s">
        <v>839</v>
      </c>
      <c r="AA581" s="178"/>
      <c r="AB581" s="316"/>
      <c r="AC581" s="155"/>
      <c r="AD581" s="155"/>
      <c r="AE581" s="156"/>
      <c r="AF581" s="157"/>
      <c r="AG581" s="297"/>
    </row>
    <row r="582" spans="2:33" ht="66" x14ac:dyDescent="0.3">
      <c r="B582" s="316"/>
      <c r="C582" s="316"/>
      <c r="E582" s="143"/>
      <c r="F582" s="228"/>
      <c r="G582" s="228"/>
      <c r="H582" s="143"/>
      <c r="I582" s="136"/>
      <c r="J582" s="316"/>
      <c r="K582" s="158"/>
      <c r="L582" s="159"/>
      <c r="M582" s="226" t="s">
        <v>318</v>
      </c>
      <c r="N582" s="315" t="s">
        <v>855</v>
      </c>
      <c r="O582" s="316" t="s">
        <v>841</v>
      </c>
      <c r="P582" s="316" t="s">
        <v>841</v>
      </c>
      <c r="Q582" s="338"/>
      <c r="R582" s="316" t="s">
        <v>841</v>
      </c>
      <c r="S582" s="338"/>
      <c r="T582" s="316" t="s">
        <v>841</v>
      </c>
      <c r="U582" s="177"/>
      <c r="V582" s="316" t="s">
        <v>841</v>
      </c>
      <c r="W582" s="177"/>
      <c r="X582" s="316" t="s">
        <v>841</v>
      </c>
      <c r="Y582" s="177"/>
      <c r="Z582" s="316" t="s">
        <v>841</v>
      </c>
      <c r="AA582" s="178"/>
      <c r="AB582" s="316"/>
      <c r="AC582" s="155"/>
      <c r="AD582" s="155"/>
      <c r="AE582" s="156"/>
      <c r="AF582" s="157"/>
      <c r="AG582" s="297"/>
    </row>
    <row r="583" spans="2:33" ht="82.5" x14ac:dyDescent="0.3">
      <c r="B583" s="316"/>
      <c r="C583" s="316"/>
      <c r="E583" s="143"/>
      <c r="F583" s="228"/>
      <c r="G583" s="228"/>
      <c r="H583" s="143"/>
      <c r="I583" s="136"/>
      <c r="J583" s="316"/>
      <c r="K583" s="158"/>
      <c r="L583" s="159"/>
      <c r="M583" s="226" t="s">
        <v>331</v>
      </c>
      <c r="N583" s="315" t="s">
        <v>856</v>
      </c>
      <c r="O583" s="206" t="s">
        <v>843</v>
      </c>
      <c r="P583" s="206" t="s">
        <v>843</v>
      </c>
      <c r="Q583" s="338"/>
      <c r="R583" s="206" t="s">
        <v>843</v>
      </c>
      <c r="S583" s="338"/>
      <c r="T583" s="206" t="s">
        <v>843</v>
      </c>
      <c r="U583" s="177"/>
      <c r="V583" s="206" t="s">
        <v>843</v>
      </c>
      <c r="W583" s="177"/>
      <c r="X583" s="206" t="s">
        <v>843</v>
      </c>
      <c r="Y583" s="177"/>
      <c r="Z583" s="206" t="s">
        <v>843</v>
      </c>
      <c r="AA583" s="178"/>
      <c r="AB583" s="316"/>
      <c r="AC583" s="155"/>
      <c r="AD583" s="155"/>
      <c r="AE583" s="156"/>
      <c r="AF583" s="157"/>
      <c r="AG583" s="297"/>
    </row>
    <row r="584" spans="2:33" ht="66" x14ac:dyDescent="0.3">
      <c r="B584" s="316"/>
      <c r="C584" s="316"/>
      <c r="E584" s="143"/>
      <c r="F584" s="228"/>
      <c r="G584" s="228"/>
      <c r="H584" s="143"/>
      <c r="I584" s="136"/>
      <c r="J584" s="316"/>
      <c r="K584" s="158"/>
      <c r="L584" s="159"/>
      <c r="M584" s="226" t="s">
        <v>353</v>
      </c>
      <c r="N584" s="315" t="s">
        <v>854</v>
      </c>
      <c r="O584" s="316" t="s">
        <v>857</v>
      </c>
      <c r="P584" s="316" t="s">
        <v>857</v>
      </c>
      <c r="Q584" s="338"/>
      <c r="R584" s="316" t="s">
        <v>857</v>
      </c>
      <c r="S584" s="338"/>
      <c r="T584" s="316" t="s">
        <v>857</v>
      </c>
      <c r="U584" s="177"/>
      <c r="V584" s="316" t="s">
        <v>857</v>
      </c>
      <c r="W584" s="177"/>
      <c r="X584" s="316" t="s">
        <v>857</v>
      </c>
      <c r="Y584" s="177"/>
      <c r="Z584" s="316" t="s">
        <v>857</v>
      </c>
      <c r="AA584" s="178"/>
      <c r="AB584" s="316"/>
      <c r="AC584" s="155"/>
      <c r="AD584" s="155"/>
      <c r="AE584" s="156"/>
      <c r="AF584" s="157"/>
      <c r="AG584" s="297"/>
    </row>
    <row r="585" spans="2:33" ht="66" x14ac:dyDescent="0.3">
      <c r="B585" s="316"/>
      <c r="C585" s="316"/>
      <c r="E585" s="143"/>
      <c r="F585" s="228"/>
      <c r="G585" s="228"/>
      <c r="H585" s="143"/>
      <c r="I585" s="136"/>
      <c r="J585" s="316"/>
      <c r="K585" s="158"/>
      <c r="L585" s="159"/>
      <c r="M585" s="226" t="s">
        <v>352</v>
      </c>
      <c r="N585" s="315" t="s">
        <v>854</v>
      </c>
      <c r="O585" s="316"/>
      <c r="P585" s="316"/>
      <c r="Q585" s="338"/>
      <c r="R585" s="316"/>
      <c r="S585" s="338"/>
      <c r="T585" s="316"/>
      <c r="U585" s="177"/>
      <c r="V585" s="316"/>
      <c r="W585" s="177"/>
      <c r="X585" s="316"/>
      <c r="Y585" s="177"/>
      <c r="Z585" s="316"/>
      <c r="AA585" s="178"/>
      <c r="AB585" s="316"/>
      <c r="AC585" s="155"/>
      <c r="AD585" s="155"/>
      <c r="AE585" s="156"/>
      <c r="AF585" s="157"/>
      <c r="AG585" s="297"/>
    </row>
    <row r="586" spans="2:33" ht="66" x14ac:dyDescent="0.3">
      <c r="B586" s="316"/>
      <c r="C586" s="316"/>
      <c r="E586" s="143"/>
      <c r="F586" s="228"/>
      <c r="G586" s="228"/>
      <c r="H586" s="143"/>
      <c r="I586" s="136"/>
      <c r="J586" s="316"/>
      <c r="K586" s="158"/>
      <c r="L586" s="159"/>
      <c r="M586" s="226" t="s">
        <v>402</v>
      </c>
      <c r="N586" s="315" t="s">
        <v>854</v>
      </c>
      <c r="O586" s="316" t="s">
        <v>849</v>
      </c>
      <c r="P586" s="316" t="s">
        <v>849</v>
      </c>
      <c r="Q586" s="338"/>
      <c r="R586" s="316" t="s">
        <v>849</v>
      </c>
      <c r="S586" s="338"/>
      <c r="T586" s="316" t="s">
        <v>849</v>
      </c>
      <c r="U586" s="177"/>
      <c r="V586" s="316" t="s">
        <v>849</v>
      </c>
      <c r="W586" s="177"/>
      <c r="X586" s="316" t="s">
        <v>849</v>
      </c>
      <c r="Y586" s="177"/>
      <c r="Z586" s="316" t="s">
        <v>849</v>
      </c>
      <c r="AA586" s="178"/>
      <c r="AB586" s="316"/>
      <c r="AC586" s="155"/>
      <c r="AD586" s="155"/>
      <c r="AE586" s="156"/>
      <c r="AF586" s="157"/>
      <c r="AG586" s="297"/>
    </row>
    <row r="587" spans="2:33" ht="49.5" x14ac:dyDescent="0.3">
      <c r="B587" s="316"/>
      <c r="C587" s="316"/>
      <c r="E587" s="143"/>
      <c r="F587" s="228"/>
      <c r="G587" s="228"/>
      <c r="H587" s="143"/>
      <c r="I587" s="136"/>
      <c r="J587" s="316"/>
      <c r="K587" s="158"/>
      <c r="L587" s="159"/>
      <c r="M587" s="226" t="s">
        <v>453</v>
      </c>
      <c r="N587" s="315" t="s">
        <v>858</v>
      </c>
      <c r="O587" s="206" t="s">
        <v>146</v>
      </c>
      <c r="P587" s="206" t="s">
        <v>146</v>
      </c>
      <c r="Q587" s="338"/>
      <c r="R587" s="206" t="s">
        <v>146</v>
      </c>
      <c r="S587" s="338"/>
      <c r="T587" s="206" t="s">
        <v>146</v>
      </c>
      <c r="U587" s="177"/>
      <c r="V587" s="206" t="s">
        <v>146</v>
      </c>
      <c r="W587" s="177"/>
      <c r="X587" s="206" t="s">
        <v>146</v>
      </c>
      <c r="Y587" s="177"/>
      <c r="Z587" s="206" t="s">
        <v>146</v>
      </c>
      <c r="AA587" s="178"/>
      <c r="AB587" s="316"/>
      <c r="AC587" s="155"/>
      <c r="AD587" s="155"/>
      <c r="AE587" s="156"/>
      <c r="AF587" s="157"/>
      <c r="AG587" s="297"/>
    </row>
    <row r="588" spans="2:33" ht="33" x14ac:dyDescent="0.3">
      <c r="B588" s="316"/>
      <c r="C588" s="316"/>
      <c r="E588" s="249"/>
      <c r="F588" s="249"/>
      <c r="G588" s="249"/>
      <c r="H588" s="249"/>
      <c r="I588" s="249"/>
      <c r="J588" s="250"/>
      <c r="K588" s="158"/>
      <c r="L588" s="159"/>
      <c r="M588" s="226" t="s">
        <v>454</v>
      </c>
      <c r="N588" s="315" t="s">
        <v>859</v>
      </c>
      <c r="O588" s="316" t="s">
        <v>432</v>
      </c>
      <c r="P588" s="316" t="s">
        <v>432</v>
      </c>
      <c r="Q588" s="338"/>
      <c r="R588" s="316" t="s">
        <v>432</v>
      </c>
      <c r="S588" s="338"/>
      <c r="T588" s="316" t="s">
        <v>432</v>
      </c>
      <c r="U588" s="177"/>
      <c r="V588" s="316" t="s">
        <v>432</v>
      </c>
      <c r="W588" s="177"/>
      <c r="X588" s="316" t="s">
        <v>432</v>
      </c>
      <c r="Y588" s="177"/>
      <c r="Z588" s="316" t="s">
        <v>432</v>
      </c>
      <c r="AA588" s="178"/>
      <c r="AB588" s="316"/>
      <c r="AC588" s="155"/>
      <c r="AD588" s="155"/>
      <c r="AE588" s="156"/>
      <c r="AF588" s="157"/>
      <c r="AG588" s="297"/>
    </row>
    <row r="589" spans="2:33" ht="49.5" x14ac:dyDescent="0.3">
      <c r="B589" s="316"/>
      <c r="C589" s="316"/>
      <c r="E589" s="143"/>
      <c r="F589" s="228"/>
      <c r="G589" s="228"/>
      <c r="H589" s="143"/>
      <c r="I589" s="143"/>
      <c r="J589" s="269"/>
      <c r="K589" s="158"/>
      <c r="L589" s="159"/>
      <c r="M589" s="226" t="s">
        <v>521</v>
      </c>
      <c r="N589" s="315" t="s">
        <v>860</v>
      </c>
      <c r="O589" s="316" t="s">
        <v>853</v>
      </c>
      <c r="P589" s="316" t="s">
        <v>853</v>
      </c>
      <c r="Q589" s="338"/>
      <c r="R589" s="316" t="s">
        <v>853</v>
      </c>
      <c r="S589" s="338"/>
      <c r="T589" s="316" t="s">
        <v>853</v>
      </c>
      <c r="U589" s="177"/>
      <c r="V589" s="316" t="s">
        <v>853</v>
      </c>
      <c r="W589" s="177"/>
      <c r="X589" s="316" t="s">
        <v>853</v>
      </c>
      <c r="Y589" s="177"/>
      <c r="Z589" s="316" t="s">
        <v>853</v>
      </c>
      <c r="AA589" s="178"/>
      <c r="AB589" s="316"/>
      <c r="AC589" s="155"/>
      <c r="AD589" s="155"/>
      <c r="AE589" s="156"/>
      <c r="AF589" s="157"/>
      <c r="AG589" s="297"/>
    </row>
    <row r="590" spans="2:33" ht="33" x14ac:dyDescent="0.3">
      <c r="B590" s="316"/>
      <c r="C590" s="316"/>
      <c r="E590" s="143"/>
      <c r="F590" s="143"/>
      <c r="G590" s="143"/>
      <c r="H590" s="143"/>
      <c r="I590" s="143"/>
      <c r="J590" s="316"/>
      <c r="K590" s="137" t="s">
        <v>295</v>
      </c>
      <c r="L590" s="314" t="s">
        <v>291</v>
      </c>
      <c r="M590" s="197" t="s">
        <v>861</v>
      </c>
      <c r="N590" s="197"/>
      <c r="O590" s="137"/>
      <c r="P590" s="137"/>
      <c r="Q590" s="338"/>
      <c r="R590" s="137"/>
      <c r="S590" s="338"/>
      <c r="T590" s="137"/>
      <c r="U590" s="177"/>
      <c r="V590" s="137"/>
      <c r="W590" s="177"/>
      <c r="X590" s="137"/>
      <c r="Y590" s="177"/>
      <c r="Z590" s="137"/>
      <c r="AA590" s="178"/>
      <c r="AB590" s="316"/>
      <c r="AC590" s="155"/>
      <c r="AD590" s="155"/>
      <c r="AE590" s="156"/>
      <c r="AF590" s="157"/>
      <c r="AG590" s="297"/>
    </row>
    <row r="591" spans="2:33" ht="33" x14ac:dyDescent="0.3">
      <c r="B591" s="179"/>
      <c r="C591" s="179"/>
      <c r="D591" s="298"/>
      <c r="E591" s="180"/>
      <c r="F591" s="238"/>
      <c r="G591" s="238"/>
      <c r="H591" s="180"/>
      <c r="I591" s="181"/>
      <c r="J591" s="179"/>
      <c r="K591" s="183" t="s">
        <v>297</v>
      </c>
      <c r="L591" s="182" t="s">
        <v>291</v>
      </c>
      <c r="M591" s="198" t="s">
        <v>862</v>
      </c>
      <c r="N591" s="198"/>
      <c r="O591" s="183"/>
      <c r="P591" s="183"/>
      <c r="Q591" s="339"/>
      <c r="R591" s="183"/>
      <c r="S591" s="339"/>
      <c r="T591" s="183"/>
      <c r="U591" s="347"/>
      <c r="V591" s="183"/>
      <c r="W591" s="347"/>
      <c r="X591" s="183"/>
      <c r="Y591" s="347"/>
      <c r="Z591" s="183"/>
      <c r="AA591" s="350"/>
      <c r="AB591" s="179"/>
      <c r="AC591" s="187"/>
      <c r="AD591" s="187"/>
      <c r="AE591" s="188"/>
      <c r="AF591" s="189"/>
      <c r="AG591" s="299"/>
    </row>
    <row r="592" spans="2:33" x14ac:dyDescent="0.3">
      <c r="B592" s="316"/>
      <c r="C592" s="316"/>
      <c r="E592" s="143"/>
      <c r="F592" s="143"/>
      <c r="G592" s="143"/>
      <c r="H592" s="143"/>
      <c r="I592" s="143"/>
      <c r="J592" s="316"/>
      <c r="K592" s="158"/>
      <c r="L592" s="159"/>
      <c r="M592" s="159"/>
      <c r="N592" s="315"/>
      <c r="O592" s="316"/>
      <c r="P592" s="316"/>
      <c r="Q592" s="338"/>
      <c r="R592" s="316"/>
      <c r="S592" s="338"/>
      <c r="T592" s="316"/>
      <c r="U592" s="177"/>
      <c r="V592" s="316"/>
      <c r="W592" s="177"/>
      <c r="X592" s="316"/>
      <c r="Y592" s="177"/>
      <c r="Z592" s="316"/>
      <c r="AA592" s="178"/>
      <c r="AB592" s="316"/>
      <c r="AC592" s="155"/>
      <c r="AD592" s="155"/>
      <c r="AE592" s="156"/>
      <c r="AF592" s="157"/>
      <c r="AG592" s="297"/>
    </row>
    <row r="593" spans="2:33" ht="33" x14ac:dyDescent="0.3">
      <c r="B593" s="316"/>
      <c r="C593" s="316"/>
      <c r="E593" s="143">
        <v>1</v>
      </c>
      <c r="F593" s="228" t="s">
        <v>131</v>
      </c>
      <c r="G593" s="228" t="s">
        <v>131</v>
      </c>
      <c r="H593" s="143">
        <v>13</v>
      </c>
      <c r="I593" s="136">
        <v>2</v>
      </c>
      <c r="J593" s="316" t="s">
        <v>395</v>
      </c>
      <c r="K593" s="158" t="s">
        <v>290</v>
      </c>
      <c r="L593" s="159" t="s">
        <v>291</v>
      </c>
      <c r="M593" s="514" t="s">
        <v>312</v>
      </c>
      <c r="N593" s="515"/>
      <c r="O593" s="316" t="s">
        <v>301</v>
      </c>
      <c r="P593" s="316" t="s">
        <v>301</v>
      </c>
      <c r="Q593" s="338">
        <v>380000000</v>
      </c>
      <c r="R593" s="316" t="s">
        <v>301</v>
      </c>
      <c r="S593" s="334">
        <f>Q593+(Q593*10%)</f>
        <v>418000000</v>
      </c>
      <c r="T593" s="316" t="s">
        <v>301</v>
      </c>
      <c r="U593" s="334">
        <f>S593+(S593*10%)</f>
        <v>459800000</v>
      </c>
      <c r="V593" s="316" t="s">
        <v>301</v>
      </c>
      <c r="W593" s="334">
        <f>U593+(U593*10%)</f>
        <v>505780000</v>
      </c>
      <c r="X593" s="316" t="s">
        <v>301</v>
      </c>
      <c r="Y593" s="334">
        <f>W593+(W593*10%)</f>
        <v>556358000</v>
      </c>
      <c r="Z593" s="316" t="s">
        <v>301</v>
      </c>
      <c r="AA593" s="178">
        <f>Y593+W593+U593+S593+Q593</f>
        <v>2319938000</v>
      </c>
      <c r="AB593" s="316" t="s">
        <v>66</v>
      </c>
      <c r="AC593" s="155"/>
      <c r="AD593" s="155"/>
      <c r="AE593" s="156"/>
      <c r="AF593" s="157"/>
      <c r="AG593" s="316" t="s">
        <v>75</v>
      </c>
    </row>
    <row r="594" spans="2:33" ht="33" x14ac:dyDescent="0.3">
      <c r="B594" s="316"/>
      <c r="C594" s="316"/>
      <c r="E594" s="143"/>
      <c r="F594" s="228"/>
      <c r="G594" s="228"/>
      <c r="H594" s="143"/>
      <c r="I594" s="136"/>
      <c r="J594" s="316"/>
      <c r="K594" s="158" t="s">
        <v>293</v>
      </c>
      <c r="L594" s="159" t="s">
        <v>291</v>
      </c>
      <c r="M594" s="160" t="s">
        <v>299</v>
      </c>
      <c r="N594" s="205" t="s">
        <v>863</v>
      </c>
      <c r="O594" s="206" t="s">
        <v>864</v>
      </c>
      <c r="P594" s="206" t="s">
        <v>864</v>
      </c>
      <c r="Q594" s="338"/>
      <c r="R594" s="206" t="s">
        <v>864</v>
      </c>
      <c r="S594" s="338"/>
      <c r="T594" s="206" t="s">
        <v>864</v>
      </c>
      <c r="U594" s="177"/>
      <c r="V594" s="206" t="s">
        <v>864</v>
      </c>
      <c r="W594" s="177"/>
      <c r="X594" s="206" t="s">
        <v>864</v>
      </c>
      <c r="Y594" s="177"/>
      <c r="Z594" s="206" t="s">
        <v>864</v>
      </c>
      <c r="AA594" s="178"/>
      <c r="AB594" s="316"/>
      <c r="AC594" s="155"/>
      <c r="AD594" s="155"/>
      <c r="AE594" s="156"/>
      <c r="AF594" s="157"/>
      <c r="AG594" s="297"/>
    </row>
    <row r="595" spans="2:33" ht="49.5" x14ac:dyDescent="0.3">
      <c r="B595" s="316"/>
      <c r="C595" s="316"/>
      <c r="E595" s="143"/>
      <c r="F595" s="228"/>
      <c r="G595" s="228"/>
      <c r="H595" s="143"/>
      <c r="I595" s="136"/>
      <c r="J595" s="316"/>
      <c r="K595" s="158"/>
      <c r="L595" s="159"/>
      <c r="M595" s="160" t="s">
        <v>303</v>
      </c>
      <c r="N595" s="205" t="s">
        <v>865</v>
      </c>
      <c r="O595" s="206" t="s">
        <v>866</v>
      </c>
      <c r="P595" s="206" t="s">
        <v>866</v>
      </c>
      <c r="Q595" s="338"/>
      <c r="R595" s="206" t="s">
        <v>866</v>
      </c>
      <c r="S595" s="338"/>
      <c r="T595" s="206" t="s">
        <v>866</v>
      </c>
      <c r="U595" s="177"/>
      <c r="V595" s="206" t="s">
        <v>866</v>
      </c>
      <c r="W595" s="177"/>
      <c r="X595" s="206" t="s">
        <v>866</v>
      </c>
      <c r="Y595" s="177"/>
      <c r="Z595" s="206" t="s">
        <v>866</v>
      </c>
      <c r="AA595" s="178"/>
      <c r="AB595" s="316"/>
      <c r="AC595" s="155"/>
      <c r="AD595" s="155"/>
      <c r="AE595" s="156"/>
      <c r="AF595" s="157"/>
      <c r="AG595" s="297"/>
    </row>
    <row r="596" spans="2:33" ht="66" x14ac:dyDescent="0.3">
      <c r="B596" s="316"/>
      <c r="C596" s="316"/>
      <c r="E596" s="143"/>
      <c r="F596" s="228"/>
      <c r="G596" s="228"/>
      <c r="H596" s="143"/>
      <c r="I596" s="136"/>
      <c r="J596" s="316"/>
      <c r="K596" s="158" t="s">
        <v>294</v>
      </c>
      <c r="L596" s="159" t="s">
        <v>291</v>
      </c>
      <c r="M596" s="226" t="s">
        <v>299</v>
      </c>
      <c r="N596" s="315" t="s">
        <v>867</v>
      </c>
      <c r="O596" s="206" t="s">
        <v>864</v>
      </c>
      <c r="P596" s="206" t="s">
        <v>864</v>
      </c>
      <c r="Q596" s="338"/>
      <c r="R596" s="206" t="s">
        <v>864</v>
      </c>
      <c r="S596" s="338"/>
      <c r="T596" s="206" t="s">
        <v>864</v>
      </c>
      <c r="U596" s="177"/>
      <c r="V596" s="206" t="s">
        <v>864</v>
      </c>
      <c r="W596" s="177"/>
      <c r="X596" s="206" t="s">
        <v>864</v>
      </c>
      <c r="Y596" s="177"/>
      <c r="Z596" s="206" t="s">
        <v>864</v>
      </c>
      <c r="AA596" s="178"/>
      <c r="AB596" s="316"/>
      <c r="AC596" s="155"/>
      <c r="AD596" s="155"/>
      <c r="AE596" s="156"/>
      <c r="AF596" s="157"/>
      <c r="AG596" s="297"/>
    </row>
    <row r="597" spans="2:33" ht="49.5" x14ac:dyDescent="0.3">
      <c r="B597" s="316"/>
      <c r="C597" s="316"/>
      <c r="E597" s="143"/>
      <c r="F597" s="228"/>
      <c r="G597" s="228"/>
      <c r="H597" s="143"/>
      <c r="I597" s="136"/>
      <c r="J597" s="316"/>
      <c r="K597" s="158"/>
      <c r="L597" s="159"/>
      <c r="M597" s="226" t="s">
        <v>303</v>
      </c>
      <c r="N597" s="315" t="s">
        <v>868</v>
      </c>
      <c r="O597" s="206" t="s">
        <v>866</v>
      </c>
      <c r="P597" s="206" t="s">
        <v>866</v>
      </c>
      <c r="Q597" s="338"/>
      <c r="R597" s="206" t="s">
        <v>866</v>
      </c>
      <c r="S597" s="338"/>
      <c r="T597" s="206" t="s">
        <v>866</v>
      </c>
      <c r="U597" s="177"/>
      <c r="V597" s="206" t="s">
        <v>866</v>
      </c>
      <c r="W597" s="177"/>
      <c r="X597" s="206" t="s">
        <v>866</v>
      </c>
      <c r="Y597" s="177"/>
      <c r="Z597" s="206" t="s">
        <v>866</v>
      </c>
      <c r="AA597" s="178"/>
      <c r="AB597" s="316"/>
      <c r="AC597" s="155"/>
      <c r="AD597" s="155"/>
      <c r="AE597" s="156"/>
      <c r="AF597" s="157"/>
      <c r="AG597" s="297"/>
    </row>
    <row r="598" spans="2:33" ht="33" x14ac:dyDescent="0.3">
      <c r="B598" s="316"/>
      <c r="C598" s="316"/>
      <c r="E598" s="143"/>
      <c r="F598" s="228"/>
      <c r="G598" s="228"/>
      <c r="H598" s="143"/>
      <c r="I598" s="136"/>
      <c r="J598" s="316"/>
      <c r="K598" s="137" t="s">
        <v>295</v>
      </c>
      <c r="L598" s="314" t="s">
        <v>291</v>
      </c>
      <c r="M598" s="197" t="s">
        <v>861</v>
      </c>
      <c r="N598" s="197"/>
      <c r="O598" s="316"/>
      <c r="P598" s="316"/>
      <c r="Q598" s="338"/>
      <c r="R598" s="316"/>
      <c r="S598" s="338"/>
      <c r="T598" s="316"/>
      <c r="U598" s="177"/>
      <c r="V598" s="316"/>
      <c r="W598" s="177"/>
      <c r="X598" s="316"/>
      <c r="Y598" s="177"/>
      <c r="Z598" s="316"/>
      <c r="AA598" s="178"/>
      <c r="AB598" s="316"/>
      <c r="AC598" s="155"/>
      <c r="AD598" s="155"/>
      <c r="AE598" s="156"/>
      <c r="AF598" s="157"/>
      <c r="AG598" s="297"/>
    </row>
    <row r="599" spans="2:33" ht="33" x14ac:dyDescent="0.3">
      <c r="B599" s="179"/>
      <c r="C599" s="179"/>
      <c r="D599" s="298"/>
      <c r="E599" s="180"/>
      <c r="F599" s="238"/>
      <c r="G599" s="238"/>
      <c r="H599" s="180"/>
      <c r="I599" s="181"/>
      <c r="J599" s="179"/>
      <c r="K599" s="183" t="s">
        <v>297</v>
      </c>
      <c r="L599" s="182" t="s">
        <v>291</v>
      </c>
      <c r="M599" s="198" t="s">
        <v>869</v>
      </c>
      <c r="N599" s="198"/>
      <c r="O599" s="179"/>
      <c r="P599" s="179"/>
      <c r="Q599" s="339"/>
      <c r="R599" s="179"/>
      <c r="S599" s="339"/>
      <c r="T599" s="179"/>
      <c r="U599" s="347"/>
      <c r="V599" s="179"/>
      <c r="W599" s="347"/>
      <c r="X599" s="179"/>
      <c r="Y599" s="347"/>
      <c r="Z599" s="179"/>
      <c r="AA599" s="350"/>
      <c r="AB599" s="179"/>
      <c r="AC599" s="187"/>
      <c r="AD599" s="187"/>
      <c r="AE599" s="188"/>
      <c r="AF599" s="189"/>
      <c r="AG599" s="299"/>
    </row>
    <row r="600" spans="2:33" x14ac:dyDescent="0.3">
      <c r="B600" s="316"/>
      <c r="C600" s="316"/>
      <c r="E600" s="143"/>
      <c r="F600" s="228"/>
      <c r="G600" s="228"/>
      <c r="H600" s="143"/>
      <c r="I600" s="136"/>
      <c r="J600" s="316"/>
      <c r="K600" s="158"/>
      <c r="L600" s="159"/>
      <c r="M600" s="159"/>
      <c r="N600" s="315"/>
      <c r="O600" s="316"/>
      <c r="P600" s="316"/>
      <c r="Q600" s="338"/>
      <c r="R600" s="316"/>
      <c r="S600" s="338"/>
      <c r="T600" s="316"/>
      <c r="U600" s="177"/>
      <c r="V600" s="316"/>
      <c r="W600" s="177"/>
      <c r="X600" s="316"/>
      <c r="Y600" s="177"/>
      <c r="Z600" s="316"/>
      <c r="AA600" s="178"/>
      <c r="AB600" s="316"/>
      <c r="AC600" s="155"/>
      <c r="AD600" s="155"/>
      <c r="AE600" s="156"/>
      <c r="AF600" s="157"/>
      <c r="AG600" s="297"/>
    </row>
    <row r="601" spans="2:33" ht="33" x14ac:dyDescent="0.3">
      <c r="B601" s="316"/>
      <c r="C601" s="316"/>
      <c r="E601" s="143">
        <v>1</v>
      </c>
      <c r="F601" s="228" t="s">
        <v>131</v>
      </c>
      <c r="G601" s="228" t="s">
        <v>131</v>
      </c>
      <c r="H601" s="143">
        <v>13</v>
      </c>
      <c r="I601" s="136">
        <v>3</v>
      </c>
      <c r="J601" s="316" t="s">
        <v>396</v>
      </c>
      <c r="K601" s="158" t="s">
        <v>290</v>
      </c>
      <c r="L601" s="159" t="s">
        <v>291</v>
      </c>
      <c r="M601" s="514" t="s">
        <v>312</v>
      </c>
      <c r="N601" s="515"/>
      <c r="O601" s="316" t="s">
        <v>301</v>
      </c>
      <c r="P601" s="316" t="s">
        <v>301</v>
      </c>
      <c r="Q601" s="338">
        <v>276888000</v>
      </c>
      <c r="R601" s="316" t="s">
        <v>301</v>
      </c>
      <c r="S601" s="334">
        <f>Q601+(Q601*10%)-800</f>
        <v>304576000</v>
      </c>
      <c r="T601" s="316" t="s">
        <v>301</v>
      </c>
      <c r="U601" s="334">
        <f>S601+(S601*10%)-600</f>
        <v>335033000</v>
      </c>
      <c r="V601" s="316" t="s">
        <v>301</v>
      </c>
      <c r="W601" s="334">
        <f>U601+(U601*10%)-300</f>
        <v>368536000</v>
      </c>
      <c r="X601" s="316" t="s">
        <v>301</v>
      </c>
      <c r="Y601" s="334">
        <f>W601+(W601*10%)-600</f>
        <v>405389000</v>
      </c>
      <c r="Z601" s="316" t="s">
        <v>301</v>
      </c>
      <c r="AA601" s="178">
        <f>Y601+W601+U601+S601+Q601</f>
        <v>1690422000</v>
      </c>
      <c r="AB601" s="316" t="s">
        <v>66</v>
      </c>
      <c r="AC601" s="155"/>
      <c r="AD601" s="155"/>
      <c r="AE601" s="156"/>
      <c r="AF601" s="157"/>
      <c r="AG601" s="316" t="s">
        <v>148</v>
      </c>
    </row>
    <row r="602" spans="2:33" ht="49.5" x14ac:dyDescent="0.3">
      <c r="B602" s="316"/>
      <c r="C602" s="316"/>
      <c r="E602" s="143"/>
      <c r="F602" s="228"/>
      <c r="G602" s="228"/>
      <c r="H602" s="143"/>
      <c r="I602" s="136"/>
      <c r="J602" s="316"/>
      <c r="K602" s="158" t="s">
        <v>293</v>
      </c>
      <c r="L602" s="159" t="s">
        <v>291</v>
      </c>
      <c r="M602" s="160" t="s">
        <v>299</v>
      </c>
      <c r="N602" s="315" t="s">
        <v>870</v>
      </c>
      <c r="O602" s="316" t="s">
        <v>790</v>
      </c>
      <c r="P602" s="316" t="s">
        <v>790</v>
      </c>
      <c r="Q602" s="338"/>
      <c r="R602" s="316" t="s">
        <v>790</v>
      </c>
      <c r="S602" s="338"/>
      <c r="T602" s="316" t="s">
        <v>790</v>
      </c>
      <c r="U602" s="177"/>
      <c r="V602" s="316" t="s">
        <v>790</v>
      </c>
      <c r="W602" s="177"/>
      <c r="X602" s="316" t="s">
        <v>790</v>
      </c>
      <c r="Y602" s="177"/>
      <c r="Z602" s="316" t="s">
        <v>790</v>
      </c>
      <c r="AA602" s="178"/>
      <c r="AB602" s="316"/>
      <c r="AC602" s="155"/>
      <c r="AD602" s="155"/>
      <c r="AE602" s="156"/>
      <c r="AF602" s="157"/>
      <c r="AG602" s="297"/>
    </row>
    <row r="603" spans="2:33" ht="66" x14ac:dyDescent="0.3">
      <c r="B603" s="316"/>
      <c r="C603" s="316"/>
      <c r="E603" s="143"/>
      <c r="F603" s="228"/>
      <c r="G603" s="228"/>
      <c r="H603" s="143"/>
      <c r="I603" s="136"/>
      <c r="J603" s="316"/>
      <c r="K603" s="158"/>
      <c r="L603" s="159"/>
      <c r="M603" s="160" t="s">
        <v>303</v>
      </c>
      <c r="N603" s="315" t="s">
        <v>836</v>
      </c>
      <c r="O603" s="316" t="s">
        <v>871</v>
      </c>
      <c r="P603" s="316" t="s">
        <v>871</v>
      </c>
      <c r="Q603" s="338"/>
      <c r="R603" s="316" t="s">
        <v>871</v>
      </c>
      <c r="S603" s="338"/>
      <c r="T603" s="316" t="s">
        <v>871</v>
      </c>
      <c r="U603" s="177"/>
      <c r="V603" s="316" t="s">
        <v>871</v>
      </c>
      <c r="W603" s="177"/>
      <c r="X603" s="316" t="s">
        <v>871</v>
      </c>
      <c r="Y603" s="177"/>
      <c r="Z603" s="316" t="s">
        <v>871</v>
      </c>
      <c r="AA603" s="178"/>
      <c r="AB603" s="316"/>
      <c r="AC603" s="155"/>
      <c r="AD603" s="155"/>
      <c r="AE603" s="156"/>
      <c r="AF603" s="157"/>
      <c r="AG603" s="297"/>
    </row>
    <row r="604" spans="2:33" ht="82.5" x14ac:dyDescent="0.3">
      <c r="B604" s="316"/>
      <c r="C604" s="316"/>
      <c r="E604" s="143"/>
      <c r="F604" s="228"/>
      <c r="G604" s="228"/>
      <c r="H604" s="143"/>
      <c r="I604" s="136"/>
      <c r="J604" s="316"/>
      <c r="K604" s="158"/>
      <c r="L604" s="159"/>
      <c r="M604" s="160" t="s">
        <v>318</v>
      </c>
      <c r="N604" s="315" t="s">
        <v>838</v>
      </c>
      <c r="O604" s="316" t="s">
        <v>872</v>
      </c>
      <c r="P604" s="316" t="s">
        <v>872</v>
      </c>
      <c r="Q604" s="338"/>
      <c r="R604" s="316" t="s">
        <v>872</v>
      </c>
      <c r="S604" s="338"/>
      <c r="T604" s="316" t="s">
        <v>872</v>
      </c>
      <c r="U604" s="177"/>
      <c r="V604" s="316" t="s">
        <v>872</v>
      </c>
      <c r="W604" s="177"/>
      <c r="X604" s="316" t="s">
        <v>872</v>
      </c>
      <c r="Y604" s="177"/>
      <c r="Z604" s="316" t="s">
        <v>872</v>
      </c>
      <c r="AA604" s="178"/>
      <c r="AB604" s="316"/>
      <c r="AC604" s="155"/>
      <c r="AD604" s="155"/>
      <c r="AE604" s="156"/>
      <c r="AF604" s="157"/>
      <c r="AG604" s="297"/>
    </row>
    <row r="605" spans="2:33" ht="49.5" x14ac:dyDescent="0.3">
      <c r="B605" s="316"/>
      <c r="C605" s="316"/>
      <c r="E605" s="143"/>
      <c r="F605" s="228"/>
      <c r="G605" s="228"/>
      <c r="H605" s="143"/>
      <c r="I605" s="136"/>
      <c r="J605" s="316"/>
      <c r="K605" s="158"/>
      <c r="L605" s="159"/>
      <c r="M605" s="160" t="s">
        <v>331</v>
      </c>
      <c r="N605" s="205" t="s">
        <v>873</v>
      </c>
      <c r="O605" s="206" t="s">
        <v>874</v>
      </c>
      <c r="P605" s="206" t="s">
        <v>874</v>
      </c>
      <c r="Q605" s="338"/>
      <c r="R605" s="206" t="s">
        <v>874</v>
      </c>
      <c r="S605" s="338"/>
      <c r="T605" s="206" t="s">
        <v>874</v>
      </c>
      <c r="U605" s="177"/>
      <c r="V605" s="206" t="s">
        <v>874</v>
      </c>
      <c r="W605" s="177"/>
      <c r="X605" s="206" t="s">
        <v>874</v>
      </c>
      <c r="Y605" s="177"/>
      <c r="Z605" s="206" t="s">
        <v>874</v>
      </c>
      <c r="AA605" s="178"/>
      <c r="AB605" s="316"/>
      <c r="AC605" s="155"/>
      <c r="AD605" s="155"/>
      <c r="AE605" s="156"/>
      <c r="AF605" s="157"/>
      <c r="AG605" s="297"/>
    </row>
    <row r="606" spans="2:33" ht="49.5" x14ac:dyDescent="0.3">
      <c r="B606" s="316"/>
      <c r="C606" s="316"/>
      <c r="E606" s="143"/>
      <c r="F606" s="228"/>
      <c r="G606" s="228"/>
      <c r="H606" s="143"/>
      <c r="I606" s="136"/>
      <c r="J606" s="316"/>
      <c r="K606" s="158"/>
      <c r="L606" s="159"/>
      <c r="M606" s="160" t="s">
        <v>353</v>
      </c>
      <c r="N606" s="315" t="s">
        <v>875</v>
      </c>
      <c r="O606" s="316" t="s">
        <v>573</v>
      </c>
      <c r="P606" s="316" t="s">
        <v>573</v>
      </c>
      <c r="Q606" s="338"/>
      <c r="R606" s="316" t="s">
        <v>573</v>
      </c>
      <c r="S606" s="338"/>
      <c r="T606" s="316" t="s">
        <v>573</v>
      </c>
      <c r="U606" s="177"/>
      <c r="V606" s="316" t="s">
        <v>573</v>
      </c>
      <c r="W606" s="177"/>
      <c r="X606" s="316" t="s">
        <v>573</v>
      </c>
      <c r="Y606" s="177"/>
      <c r="Z606" s="316" t="s">
        <v>573</v>
      </c>
      <c r="AA606" s="178"/>
      <c r="AB606" s="316"/>
      <c r="AC606" s="155"/>
      <c r="AD606" s="155"/>
      <c r="AE606" s="156"/>
      <c r="AF606" s="157"/>
      <c r="AG606" s="297"/>
    </row>
    <row r="607" spans="2:33" ht="33" x14ac:dyDescent="0.3">
      <c r="B607" s="316"/>
      <c r="C607" s="316"/>
      <c r="E607" s="143"/>
      <c r="F607" s="228"/>
      <c r="G607" s="228"/>
      <c r="H607" s="143"/>
      <c r="I607" s="136"/>
      <c r="J607" s="316"/>
      <c r="K607" s="158"/>
      <c r="L607" s="159"/>
      <c r="M607" s="160" t="s">
        <v>352</v>
      </c>
      <c r="N607" s="205" t="s">
        <v>844</v>
      </c>
      <c r="O607" s="206" t="s">
        <v>876</v>
      </c>
      <c r="P607" s="206" t="s">
        <v>876</v>
      </c>
      <c r="Q607" s="338"/>
      <c r="R607" s="206" t="s">
        <v>876</v>
      </c>
      <c r="S607" s="338"/>
      <c r="T607" s="206" t="s">
        <v>876</v>
      </c>
      <c r="U607" s="177"/>
      <c r="V607" s="206" t="s">
        <v>876</v>
      </c>
      <c r="W607" s="177"/>
      <c r="X607" s="206" t="s">
        <v>876</v>
      </c>
      <c r="Y607" s="177"/>
      <c r="Z607" s="206" t="s">
        <v>876</v>
      </c>
      <c r="AA607" s="178"/>
      <c r="AB607" s="316"/>
      <c r="AC607" s="155"/>
      <c r="AD607" s="155"/>
      <c r="AE607" s="156"/>
      <c r="AF607" s="157"/>
      <c r="AG607" s="297"/>
    </row>
    <row r="608" spans="2:33" ht="33" x14ac:dyDescent="0.3">
      <c r="B608" s="316"/>
      <c r="C608" s="316"/>
      <c r="E608" s="143"/>
      <c r="F608" s="228"/>
      <c r="G608" s="228"/>
      <c r="H608" s="143"/>
      <c r="I608" s="136"/>
      <c r="J608" s="316"/>
      <c r="K608" s="137"/>
      <c r="L608" s="314"/>
      <c r="M608" s="226" t="s">
        <v>402</v>
      </c>
      <c r="N608" s="205" t="s">
        <v>846</v>
      </c>
      <c r="O608" s="206" t="s">
        <v>876</v>
      </c>
      <c r="P608" s="206" t="s">
        <v>876</v>
      </c>
      <c r="Q608" s="338"/>
      <c r="R608" s="206" t="s">
        <v>876</v>
      </c>
      <c r="S608" s="338"/>
      <c r="T608" s="206" t="s">
        <v>876</v>
      </c>
      <c r="U608" s="177"/>
      <c r="V608" s="206" t="s">
        <v>876</v>
      </c>
      <c r="W608" s="177"/>
      <c r="X608" s="206" t="s">
        <v>876</v>
      </c>
      <c r="Y608" s="177"/>
      <c r="Z608" s="206" t="s">
        <v>876</v>
      </c>
      <c r="AA608" s="178"/>
      <c r="AB608" s="316"/>
      <c r="AC608" s="155"/>
      <c r="AD608" s="155"/>
      <c r="AE608" s="156"/>
      <c r="AF608" s="157"/>
      <c r="AG608" s="297"/>
    </row>
    <row r="609" spans="2:33" ht="33" x14ac:dyDescent="0.3">
      <c r="B609" s="316"/>
      <c r="C609" s="316"/>
      <c r="E609" s="143"/>
      <c r="F609" s="228"/>
      <c r="G609" s="228"/>
      <c r="H609" s="143"/>
      <c r="I609" s="136"/>
      <c r="J609" s="316"/>
      <c r="K609" s="137"/>
      <c r="L609" s="314"/>
      <c r="M609" s="226" t="s">
        <v>453</v>
      </c>
      <c r="N609" s="205" t="s">
        <v>877</v>
      </c>
      <c r="O609" s="206" t="s">
        <v>878</v>
      </c>
      <c r="P609" s="206" t="s">
        <v>878</v>
      </c>
      <c r="Q609" s="338"/>
      <c r="R609" s="206" t="s">
        <v>878</v>
      </c>
      <c r="S609" s="338"/>
      <c r="T609" s="206" t="s">
        <v>878</v>
      </c>
      <c r="U609" s="177"/>
      <c r="V609" s="206" t="s">
        <v>878</v>
      </c>
      <c r="W609" s="177"/>
      <c r="X609" s="206" t="s">
        <v>878</v>
      </c>
      <c r="Y609" s="177"/>
      <c r="Z609" s="206" t="s">
        <v>878</v>
      </c>
      <c r="AA609" s="178"/>
      <c r="AB609" s="316"/>
      <c r="AC609" s="155"/>
      <c r="AD609" s="155"/>
      <c r="AE609" s="156"/>
      <c r="AF609" s="157"/>
      <c r="AG609" s="297"/>
    </row>
    <row r="610" spans="2:33" ht="33" x14ac:dyDescent="0.3">
      <c r="B610" s="316"/>
      <c r="C610" s="316"/>
      <c r="E610" s="143"/>
      <c r="F610" s="228"/>
      <c r="G610" s="228"/>
      <c r="H610" s="143"/>
      <c r="I610" s="136"/>
      <c r="J610" s="316"/>
      <c r="K610" s="137"/>
      <c r="L610" s="314"/>
      <c r="M610" s="226" t="s">
        <v>454</v>
      </c>
      <c r="N610" s="205" t="s">
        <v>879</v>
      </c>
      <c r="O610" s="206" t="s">
        <v>432</v>
      </c>
      <c r="P610" s="206" t="s">
        <v>432</v>
      </c>
      <c r="Q610" s="338"/>
      <c r="R610" s="206" t="s">
        <v>432</v>
      </c>
      <c r="S610" s="338"/>
      <c r="T610" s="206" t="s">
        <v>432</v>
      </c>
      <c r="U610" s="177"/>
      <c r="V610" s="206" t="s">
        <v>432</v>
      </c>
      <c r="W610" s="177"/>
      <c r="X610" s="206" t="s">
        <v>432</v>
      </c>
      <c r="Y610" s="177"/>
      <c r="Z610" s="206" t="s">
        <v>432</v>
      </c>
      <c r="AA610" s="178"/>
      <c r="AB610" s="316"/>
      <c r="AC610" s="155"/>
      <c r="AD610" s="155"/>
      <c r="AE610" s="156"/>
      <c r="AF610" s="157"/>
      <c r="AG610" s="297"/>
    </row>
    <row r="611" spans="2:33" ht="165" x14ac:dyDescent="0.3">
      <c r="B611" s="316"/>
      <c r="C611" s="316"/>
      <c r="E611" s="143"/>
      <c r="F611" s="228"/>
      <c r="G611" s="228"/>
      <c r="H611" s="143"/>
      <c r="I611" s="136"/>
      <c r="J611" s="316"/>
      <c r="K611" s="137"/>
      <c r="L611" s="314"/>
      <c r="M611" s="226" t="s">
        <v>521</v>
      </c>
      <c r="N611" s="205" t="s">
        <v>880</v>
      </c>
      <c r="O611" s="206" t="s">
        <v>881</v>
      </c>
      <c r="P611" s="206" t="s">
        <v>881</v>
      </c>
      <c r="Q611" s="338"/>
      <c r="R611" s="206" t="s">
        <v>881</v>
      </c>
      <c r="S611" s="338"/>
      <c r="T611" s="206" t="s">
        <v>881</v>
      </c>
      <c r="U611" s="177"/>
      <c r="V611" s="206" t="s">
        <v>881</v>
      </c>
      <c r="W611" s="177"/>
      <c r="X611" s="206" t="s">
        <v>881</v>
      </c>
      <c r="Y611" s="177"/>
      <c r="Z611" s="206" t="s">
        <v>881</v>
      </c>
      <c r="AA611" s="178"/>
      <c r="AB611" s="316"/>
      <c r="AC611" s="155"/>
      <c r="AD611" s="155"/>
      <c r="AE611" s="156"/>
      <c r="AF611" s="157"/>
      <c r="AG611" s="297"/>
    </row>
    <row r="612" spans="2:33" ht="33" x14ac:dyDescent="0.3">
      <c r="B612" s="316"/>
      <c r="C612" s="316"/>
      <c r="E612" s="143"/>
      <c r="F612" s="228"/>
      <c r="G612" s="228"/>
      <c r="H612" s="143"/>
      <c r="I612" s="136"/>
      <c r="J612" s="316"/>
      <c r="K612" s="137"/>
      <c r="L612" s="314"/>
      <c r="M612" s="226" t="s">
        <v>522</v>
      </c>
      <c r="N612" s="205" t="s">
        <v>852</v>
      </c>
      <c r="O612" s="206" t="s">
        <v>853</v>
      </c>
      <c r="P612" s="206" t="s">
        <v>853</v>
      </c>
      <c r="Q612" s="338"/>
      <c r="R612" s="206" t="s">
        <v>853</v>
      </c>
      <c r="S612" s="338"/>
      <c r="T612" s="206" t="s">
        <v>853</v>
      </c>
      <c r="U612" s="177"/>
      <c r="V612" s="206" t="s">
        <v>853</v>
      </c>
      <c r="W612" s="177"/>
      <c r="X612" s="206" t="s">
        <v>853</v>
      </c>
      <c r="Y612" s="177"/>
      <c r="Z612" s="206" t="s">
        <v>853</v>
      </c>
      <c r="AA612" s="178"/>
      <c r="AB612" s="316"/>
      <c r="AC612" s="155"/>
      <c r="AD612" s="155"/>
      <c r="AE612" s="156"/>
      <c r="AF612" s="157"/>
      <c r="AG612" s="297"/>
    </row>
    <row r="613" spans="2:33" ht="99" x14ac:dyDescent="0.3">
      <c r="B613" s="316"/>
      <c r="C613" s="316"/>
      <c r="E613" s="143"/>
      <c r="F613" s="228"/>
      <c r="G613" s="228"/>
      <c r="H613" s="143"/>
      <c r="I613" s="136"/>
      <c r="J613" s="316"/>
      <c r="K613" s="158" t="s">
        <v>294</v>
      </c>
      <c r="L613" s="159" t="s">
        <v>291</v>
      </c>
      <c r="M613" s="226" t="s">
        <v>299</v>
      </c>
      <c r="N613" s="315" t="s">
        <v>882</v>
      </c>
      <c r="O613" s="316" t="s">
        <v>790</v>
      </c>
      <c r="P613" s="316" t="s">
        <v>790</v>
      </c>
      <c r="Q613" s="338"/>
      <c r="R613" s="316" t="s">
        <v>790</v>
      </c>
      <c r="S613" s="338"/>
      <c r="T613" s="316" t="s">
        <v>790</v>
      </c>
      <c r="U613" s="177"/>
      <c r="V613" s="316" t="s">
        <v>790</v>
      </c>
      <c r="W613" s="177"/>
      <c r="X613" s="316" t="s">
        <v>790</v>
      </c>
      <c r="Y613" s="177"/>
      <c r="Z613" s="316" t="s">
        <v>790</v>
      </c>
      <c r="AA613" s="178"/>
      <c r="AB613" s="316"/>
      <c r="AC613" s="155"/>
      <c r="AD613" s="155"/>
      <c r="AE613" s="156"/>
      <c r="AF613" s="157"/>
      <c r="AG613" s="297"/>
    </row>
    <row r="614" spans="2:33" ht="66" x14ac:dyDescent="0.3">
      <c r="B614" s="316"/>
      <c r="C614" s="316"/>
      <c r="E614" s="143"/>
      <c r="F614" s="228"/>
      <c r="G614" s="228"/>
      <c r="H614" s="143"/>
      <c r="I614" s="136"/>
      <c r="J614" s="316"/>
      <c r="K614" s="158"/>
      <c r="L614" s="159"/>
      <c r="M614" s="226" t="s">
        <v>303</v>
      </c>
      <c r="N614" s="315" t="s">
        <v>854</v>
      </c>
      <c r="O614" s="316" t="s">
        <v>871</v>
      </c>
      <c r="P614" s="316" t="s">
        <v>871</v>
      </c>
      <c r="Q614" s="338"/>
      <c r="R614" s="316" t="s">
        <v>871</v>
      </c>
      <c r="S614" s="338"/>
      <c r="T614" s="316" t="s">
        <v>871</v>
      </c>
      <c r="U614" s="177"/>
      <c r="V614" s="316" t="s">
        <v>871</v>
      </c>
      <c r="W614" s="177"/>
      <c r="X614" s="316" t="s">
        <v>871</v>
      </c>
      <c r="Y614" s="177"/>
      <c r="Z614" s="316" t="s">
        <v>871</v>
      </c>
      <c r="AA614" s="178"/>
      <c r="AB614" s="316"/>
      <c r="AC614" s="155"/>
      <c r="AD614" s="155"/>
      <c r="AE614" s="156"/>
      <c r="AF614" s="157"/>
      <c r="AG614" s="297"/>
    </row>
    <row r="615" spans="2:33" ht="66" x14ac:dyDescent="0.3">
      <c r="B615" s="316"/>
      <c r="C615" s="316"/>
      <c r="E615" s="143"/>
      <c r="F615" s="228"/>
      <c r="G615" s="228"/>
      <c r="H615" s="143"/>
      <c r="I615" s="136"/>
      <c r="J615" s="316"/>
      <c r="K615" s="158"/>
      <c r="L615" s="159"/>
      <c r="M615" s="226" t="s">
        <v>318</v>
      </c>
      <c r="N615" s="315" t="s">
        <v>854</v>
      </c>
      <c r="O615" s="316" t="s">
        <v>872</v>
      </c>
      <c r="P615" s="316" t="s">
        <v>872</v>
      </c>
      <c r="Q615" s="338"/>
      <c r="R615" s="316" t="s">
        <v>872</v>
      </c>
      <c r="S615" s="338"/>
      <c r="T615" s="316" t="s">
        <v>872</v>
      </c>
      <c r="U615" s="177"/>
      <c r="V615" s="316" t="s">
        <v>872</v>
      </c>
      <c r="W615" s="177"/>
      <c r="X615" s="316" t="s">
        <v>872</v>
      </c>
      <c r="Y615" s="177"/>
      <c r="Z615" s="316" t="s">
        <v>872</v>
      </c>
      <c r="AA615" s="178"/>
      <c r="AB615" s="316"/>
      <c r="AC615" s="155"/>
      <c r="AD615" s="155"/>
      <c r="AE615" s="156"/>
      <c r="AF615" s="157"/>
      <c r="AG615" s="297"/>
    </row>
    <row r="616" spans="2:33" ht="66" x14ac:dyDescent="0.3">
      <c r="B616" s="316"/>
      <c r="C616" s="316"/>
      <c r="E616" s="143"/>
      <c r="F616" s="228"/>
      <c r="G616" s="228"/>
      <c r="H616" s="143"/>
      <c r="I616" s="136"/>
      <c r="J616" s="316"/>
      <c r="K616" s="158"/>
      <c r="L616" s="159"/>
      <c r="M616" s="226" t="s">
        <v>331</v>
      </c>
      <c r="N616" s="315" t="s">
        <v>883</v>
      </c>
      <c r="O616" s="206" t="s">
        <v>874</v>
      </c>
      <c r="P616" s="206" t="s">
        <v>874</v>
      </c>
      <c r="Q616" s="338"/>
      <c r="R616" s="206" t="s">
        <v>874</v>
      </c>
      <c r="S616" s="338"/>
      <c r="T616" s="206" t="s">
        <v>874</v>
      </c>
      <c r="U616" s="177"/>
      <c r="V616" s="206" t="s">
        <v>874</v>
      </c>
      <c r="W616" s="177"/>
      <c r="X616" s="206" t="s">
        <v>874</v>
      </c>
      <c r="Y616" s="177"/>
      <c r="Z616" s="206" t="s">
        <v>874</v>
      </c>
      <c r="AA616" s="178"/>
      <c r="AB616" s="316"/>
      <c r="AC616" s="155"/>
      <c r="AD616" s="155"/>
      <c r="AE616" s="156"/>
      <c r="AF616" s="157"/>
      <c r="AG616" s="297"/>
    </row>
    <row r="617" spans="2:33" ht="33" x14ac:dyDescent="0.3">
      <c r="B617" s="316"/>
      <c r="C617" s="316"/>
      <c r="E617" s="143"/>
      <c r="F617" s="228"/>
      <c r="G617" s="228"/>
      <c r="H617" s="143"/>
      <c r="I617" s="136"/>
      <c r="J617" s="316"/>
      <c r="K617" s="158"/>
      <c r="L617" s="159"/>
      <c r="M617" s="226" t="s">
        <v>353</v>
      </c>
      <c r="N617" s="315" t="s">
        <v>884</v>
      </c>
      <c r="O617" s="316" t="s">
        <v>573</v>
      </c>
      <c r="P617" s="316" t="s">
        <v>573</v>
      </c>
      <c r="Q617" s="338"/>
      <c r="R617" s="316" t="s">
        <v>573</v>
      </c>
      <c r="S617" s="338"/>
      <c r="T617" s="316" t="s">
        <v>573</v>
      </c>
      <c r="U617" s="177"/>
      <c r="V617" s="316" t="s">
        <v>573</v>
      </c>
      <c r="W617" s="177"/>
      <c r="X617" s="316" t="s">
        <v>573</v>
      </c>
      <c r="Y617" s="177"/>
      <c r="Z617" s="316" t="s">
        <v>573</v>
      </c>
      <c r="AA617" s="178"/>
      <c r="AB617" s="316"/>
      <c r="AC617" s="155"/>
      <c r="AD617" s="155"/>
      <c r="AE617" s="156"/>
      <c r="AF617" s="157"/>
      <c r="AG617" s="297"/>
    </row>
    <row r="618" spans="2:33" ht="66" x14ac:dyDescent="0.3">
      <c r="B618" s="316"/>
      <c r="C618" s="316"/>
      <c r="E618" s="143"/>
      <c r="F618" s="228"/>
      <c r="G618" s="228"/>
      <c r="H618" s="143"/>
      <c r="I618" s="136"/>
      <c r="J618" s="316"/>
      <c r="K618" s="158"/>
      <c r="L618" s="159"/>
      <c r="M618" s="226" t="s">
        <v>352</v>
      </c>
      <c r="N618" s="315" t="s">
        <v>854</v>
      </c>
      <c r="O618" s="316" t="s">
        <v>857</v>
      </c>
      <c r="P618" s="316" t="s">
        <v>857</v>
      </c>
      <c r="Q618" s="338"/>
      <c r="R618" s="316" t="s">
        <v>857</v>
      </c>
      <c r="S618" s="338"/>
      <c r="T618" s="316" t="s">
        <v>857</v>
      </c>
      <c r="U618" s="177"/>
      <c r="V618" s="316" t="s">
        <v>857</v>
      </c>
      <c r="W618" s="177"/>
      <c r="X618" s="316" t="s">
        <v>857</v>
      </c>
      <c r="Y618" s="177"/>
      <c r="Z618" s="316" t="s">
        <v>857</v>
      </c>
      <c r="AA618" s="178"/>
      <c r="AB618" s="316"/>
      <c r="AC618" s="155"/>
      <c r="AD618" s="155"/>
      <c r="AE618" s="156"/>
      <c r="AF618" s="157"/>
      <c r="AG618" s="297"/>
    </row>
    <row r="619" spans="2:33" ht="66" x14ac:dyDescent="0.3">
      <c r="B619" s="316"/>
      <c r="C619" s="316"/>
      <c r="E619" s="143"/>
      <c r="F619" s="228"/>
      <c r="G619" s="228"/>
      <c r="H619" s="143"/>
      <c r="I619" s="136"/>
      <c r="J619" s="316"/>
      <c r="K619" s="158"/>
      <c r="L619" s="159"/>
      <c r="M619" s="226" t="s">
        <v>402</v>
      </c>
      <c r="N619" s="315" t="s">
        <v>854</v>
      </c>
      <c r="O619" s="316"/>
      <c r="P619" s="316"/>
      <c r="Q619" s="338"/>
      <c r="R619" s="316"/>
      <c r="S619" s="338"/>
      <c r="T619" s="316"/>
      <c r="U619" s="177"/>
      <c r="V619" s="316"/>
      <c r="W619" s="177"/>
      <c r="X619" s="316"/>
      <c r="Y619" s="177"/>
      <c r="Z619" s="316"/>
      <c r="AA619" s="178"/>
      <c r="AB619" s="316"/>
      <c r="AC619" s="155"/>
      <c r="AD619" s="155"/>
      <c r="AE619" s="156"/>
      <c r="AF619" s="157"/>
      <c r="AG619" s="297"/>
    </row>
    <row r="620" spans="2:33" ht="49.5" x14ac:dyDescent="0.3">
      <c r="B620" s="316"/>
      <c r="C620" s="316"/>
      <c r="E620" s="143"/>
      <c r="F620" s="228"/>
      <c r="G620" s="228"/>
      <c r="H620" s="143"/>
      <c r="I620" s="136"/>
      <c r="J620" s="316"/>
      <c r="K620" s="158"/>
      <c r="L620" s="159"/>
      <c r="M620" s="226" t="s">
        <v>453</v>
      </c>
      <c r="N620" s="315" t="s">
        <v>868</v>
      </c>
      <c r="O620" s="206" t="s">
        <v>878</v>
      </c>
      <c r="P620" s="206" t="s">
        <v>878</v>
      </c>
      <c r="Q620" s="338"/>
      <c r="R620" s="206" t="s">
        <v>878</v>
      </c>
      <c r="S620" s="338"/>
      <c r="T620" s="206" t="s">
        <v>878</v>
      </c>
      <c r="U620" s="177"/>
      <c r="V620" s="206" t="s">
        <v>878</v>
      </c>
      <c r="W620" s="177"/>
      <c r="X620" s="206" t="s">
        <v>878</v>
      </c>
      <c r="Y620" s="177"/>
      <c r="Z620" s="206" t="s">
        <v>878</v>
      </c>
      <c r="AA620" s="178"/>
      <c r="AB620" s="316"/>
      <c r="AC620" s="155"/>
      <c r="AD620" s="155"/>
      <c r="AE620" s="156"/>
      <c r="AF620" s="157"/>
      <c r="AG620" s="297"/>
    </row>
    <row r="621" spans="2:33" ht="49.5" x14ac:dyDescent="0.3">
      <c r="B621" s="316"/>
      <c r="C621" s="316"/>
      <c r="E621" s="143"/>
      <c r="F621" s="228"/>
      <c r="G621" s="228"/>
      <c r="H621" s="143"/>
      <c r="I621" s="136"/>
      <c r="J621" s="316"/>
      <c r="K621" s="158"/>
      <c r="L621" s="159"/>
      <c r="M621" s="226" t="s">
        <v>454</v>
      </c>
      <c r="N621" s="315" t="s">
        <v>858</v>
      </c>
      <c r="O621" s="206" t="s">
        <v>432</v>
      </c>
      <c r="P621" s="206" t="s">
        <v>432</v>
      </c>
      <c r="Q621" s="338"/>
      <c r="R621" s="206" t="s">
        <v>432</v>
      </c>
      <c r="S621" s="338"/>
      <c r="T621" s="206" t="s">
        <v>432</v>
      </c>
      <c r="U621" s="177"/>
      <c r="V621" s="206" t="s">
        <v>432</v>
      </c>
      <c r="W621" s="177"/>
      <c r="X621" s="206" t="s">
        <v>432</v>
      </c>
      <c r="Y621" s="177"/>
      <c r="Z621" s="206" t="s">
        <v>432</v>
      </c>
      <c r="AA621" s="178"/>
      <c r="AB621" s="316"/>
      <c r="AC621" s="155"/>
      <c r="AD621" s="155"/>
      <c r="AE621" s="156"/>
      <c r="AF621" s="157"/>
      <c r="AG621" s="297"/>
    </row>
    <row r="622" spans="2:33" ht="49.5" x14ac:dyDescent="0.3">
      <c r="B622" s="316"/>
      <c r="C622" s="316"/>
      <c r="E622" s="143"/>
      <c r="F622" s="228"/>
      <c r="G622" s="228"/>
      <c r="H622" s="143"/>
      <c r="I622" s="136"/>
      <c r="J622" s="316"/>
      <c r="K622" s="158"/>
      <c r="L622" s="159"/>
      <c r="M622" s="226" t="s">
        <v>521</v>
      </c>
      <c r="N622" s="315" t="s">
        <v>860</v>
      </c>
      <c r="O622" s="316" t="s">
        <v>853</v>
      </c>
      <c r="P622" s="316" t="s">
        <v>853</v>
      </c>
      <c r="Q622" s="338"/>
      <c r="R622" s="316" t="s">
        <v>853</v>
      </c>
      <c r="S622" s="338"/>
      <c r="T622" s="316" t="s">
        <v>853</v>
      </c>
      <c r="U622" s="177"/>
      <c r="V622" s="316" t="s">
        <v>853</v>
      </c>
      <c r="W622" s="177"/>
      <c r="X622" s="316" t="s">
        <v>853</v>
      </c>
      <c r="Y622" s="177"/>
      <c r="Z622" s="316" t="s">
        <v>853</v>
      </c>
      <c r="AA622" s="178"/>
      <c r="AB622" s="316"/>
      <c r="AC622" s="155"/>
      <c r="AD622" s="155"/>
      <c r="AE622" s="156"/>
      <c r="AF622" s="157"/>
      <c r="AG622" s="297"/>
    </row>
    <row r="623" spans="2:33" ht="33" x14ac:dyDescent="0.3">
      <c r="B623" s="316"/>
      <c r="C623" s="316"/>
      <c r="E623" s="143"/>
      <c r="F623" s="143"/>
      <c r="G623" s="143"/>
      <c r="H623" s="143"/>
      <c r="I623" s="143"/>
      <c r="J623" s="316"/>
      <c r="K623" s="137" t="s">
        <v>295</v>
      </c>
      <c r="L623" s="314" t="s">
        <v>291</v>
      </c>
      <c r="M623" s="197" t="s">
        <v>885</v>
      </c>
      <c r="N623" s="197"/>
      <c r="O623" s="137"/>
      <c r="P623" s="137"/>
      <c r="Q623" s="338"/>
      <c r="R623" s="137"/>
      <c r="S623" s="338"/>
      <c r="T623" s="137"/>
      <c r="U623" s="177"/>
      <c r="V623" s="137"/>
      <c r="W623" s="177"/>
      <c r="X623" s="137"/>
      <c r="Y623" s="177"/>
      <c r="Z623" s="137"/>
      <c r="AA623" s="178"/>
      <c r="AB623" s="316"/>
      <c r="AC623" s="155"/>
      <c r="AD623" s="155"/>
      <c r="AE623" s="156"/>
      <c r="AF623" s="157"/>
      <c r="AG623" s="297"/>
    </row>
    <row r="624" spans="2:33" ht="33" x14ac:dyDescent="0.3">
      <c r="B624" s="179"/>
      <c r="C624" s="179"/>
      <c r="D624" s="298"/>
      <c r="E624" s="180"/>
      <c r="F624" s="238"/>
      <c r="G624" s="238"/>
      <c r="H624" s="180"/>
      <c r="I624" s="181"/>
      <c r="J624" s="179"/>
      <c r="K624" s="183" t="s">
        <v>297</v>
      </c>
      <c r="L624" s="182" t="s">
        <v>291</v>
      </c>
      <c r="M624" s="198" t="s">
        <v>869</v>
      </c>
      <c r="N624" s="198"/>
      <c r="O624" s="183"/>
      <c r="P624" s="183"/>
      <c r="Q624" s="339"/>
      <c r="R624" s="183"/>
      <c r="S624" s="339"/>
      <c r="T624" s="183"/>
      <c r="U624" s="347"/>
      <c r="V624" s="183"/>
      <c r="W624" s="347"/>
      <c r="X624" s="183"/>
      <c r="Y624" s="347"/>
      <c r="Z624" s="183"/>
      <c r="AA624" s="350"/>
      <c r="AB624" s="179"/>
      <c r="AC624" s="187"/>
      <c r="AD624" s="187"/>
      <c r="AE624" s="188"/>
      <c r="AF624" s="189"/>
      <c r="AG624" s="299"/>
    </row>
    <row r="625" spans="1:33" x14ac:dyDescent="0.3">
      <c r="B625" s="316"/>
      <c r="C625" s="316"/>
      <c r="E625" s="143"/>
      <c r="F625" s="228"/>
      <c r="G625" s="228"/>
      <c r="H625" s="143"/>
      <c r="I625" s="136"/>
      <c r="J625" s="316"/>
      <c r="K625" s="158"/>
      <c r="L625" s="159"/>
      <c r="M625" s="159"/>
      <c r="N625" s="315"/>
      <c r="O625" s="316"/>
      <c r="P625" s="316"/>
      <c r="Q625" s="338"/>
      <c r="R625" s="316"/>
      <c r="S625" s="338"/>
      <c r="T625" s="316"/>
      <c r="U625" s="177"/>
      <c r="V625" s="316"/>
      <c r="W625" s="177"/>
      <c r="X625" s="316"/>
      <c r="Y625" s="177"/>
      <c r="Z625" s="316"/>
      <c r="AA625" s="178"/>
      <c r="AB625" s="316"/>
      <c r="AC625" s="155"/>
      <c r="AD625" s="155"/>
      <c r="AE625" s="156"/>
      <c r="AF625" s="157"/>
      <c r="AG625" s="297"/>
    </row>
    <row r="626" spans="1:33" ht="18" x14ac:dyDescent="0.3">
      <c r="B626" s="316"/>
      <c r="C626" s="316"/>
      <c r="E626" s="143"/>
      <c r="F626" s="143"/>
      <c r="G626" s="143"/>
      <c r="H626" s="143"/>
      <c r="I626" s="143"/>
      <c r="J626" s="127" t="s">
        <v>130</v>
      </c>
      <c r="K626" s="158"/>
      <c r="L626" s="159"/>
      <c r="M626" s="159"/>
      <c r="N626" s="315"/>
      <c r="O626" s="316"/>
      <c r="P626" s="316"/>
      <c r="Q626" s="338"/>
      <c r="R626" s="316"/>
      <c r="S626" s="338"/>
      <c r="T626" s="316"/>
      <c r="U626" s="177"/>
      <c r="V626" s="316"/>
      <c r="W626" s="177"/>
      <c r="X626" s="316"/>
      <c r="Y626" s="177"/>
      <c r="Z626" s="316"/>
      <c r="AA626" s="178"/>
      <c r="AB626" s="316"/>
      <c r="AC626" s="155"/>
      <c r="AD626" s="155"/>
      <c r="AE626" s="156"/>
      <c r="AF626" s="157"/>
      <c r="AG626" s="297"/>
    </row>
    <row r="627" spans="1:33" ht="18" x14ac:dyDescent="0.3">
      <c r="B627" s="316"/>
      <c r="C627" s="316"/>
      <c r="E627" s="128">
        <v>1</v>
      </c>
      <c r="F627" s="128">
        <v>18</v>
      </c>
      <c r="G627" s="128"/>
      <c r="H627" s="128"/>
      <c r="I627" s="128"/>
      <c r="J627" s="127" t="s">
        <v>234</v>
      </c>
      <c r="K627" s="158"/>
      <c r="L627" s="159"/>
      <c r="M627" s="159"/>
      <c r="N627" s="315"/>
      <c r="O627" s="316"/>
      <c r="P627" s="316"/>
      <c r="Q627" s="338"/>
      <c r="R627" s="316"/>
      <c r="S627" s="338"/>
      <c r="T627" s="316"/>
      <c r="U627" s="177"/>
      <c r="V627" s="316"/>
      <c r="W627" s="177"/>
      <c r="X627" s="316"/>
      <c r="Y627" s="177"/>
      <c r="Z627" s="316"/>
      <c r="AA627" s="178"/>
      <c r="AB627" s="316"/>
      <c r="AC627" s="155"/>
      <c r="AD627" s="155"/>
      <c r="AE627" s="156"/>
      <c r="AF627" s="157"/>
      <c r="AG627" s="297"/>
    </row>
    <row r="628" spans="1:33" x14ac:dyDescent="0.3">
      <c r="B628" s="316"/>
      <c r="C628" s="316"/>
      <c r="E628" s="143"/>
      <c r="F628" s="143"/>
      <c r="G628" s="143"/>
      <c r="H628" s="143"/>
      <c r="I628" s="143"/>
      <c r="J628" s="316"/>
      <c r="K628" s="158"/>
      <c r="L628" s="159"/>
      <c r="M628" s="159"/>
      <c r="N628" s="315"/>
      <c r="O628" s="316"/>
      <c r="P628" s="316"/>
      <c r="Q628" s="338"/>
      <c r="R628" s="316"/>
      <c r="S628" s="338"/>
      <c r="T628" s="316"/>
      <c r="U628" s="177"/>
      <c r="V628" s="316"/>
      <c r="W628" s="177"/>
      <c r="X628" s="316"/>
      <c r="Y628" s="177"/>
      <c r="Z628" s="316"/>
      <c r="AA628" s="178"/>
      <c r="AB628" s="316"/>
      <c r="AC628" s="155"/>
      <c r="AD628" s="155"/>
      <c r="AE628" s="156"/>
      <c r="AF628" s="157"/>
      <c r="AG628" s="297"/>
    </row>
    <row r="629" spans="1:33" ht="18" x14ac:dyDescent="0.3">
      <c r="B629" s="316"/>
      <c r="C629" s="316"/>
      <c r="E629" s="128"/>
      <c r="F629" s="128"/>
      <c r="G629" s="128"/>
      <c r="H629" s="128"/>
      <c r="I629" s="128"/>
      <c r="J629" s="127" t="s">
        <v>60</v>
      </c>
      <c r="K629" s="158"/>
      <c r="L629" s="159"/>
      <c r="M629" s="159"/>
      <c r="N629" s="315"/>
      <c r="O629" s="316"/>
      <c r="P629" s="316"/>
      <c r="Q629" s="338"/>
      <c r="R629" s="316"/>
      <c r="S629" s="338"/>
      <c r="T629" s="316"/>
      <c r="U629" s="177"/>
      <c r="V629" s="316"/>
      <c r="W629" s="177"/>
      <c r="X629" s="316"/>
      <c r="Y629" s="177"/>
      <c r="Z629" s="316"/>
      <c r="AA629" s="178"/>
      <c r="AB629" s="316"/>
      <c r="AC629" s="155"/>
      <c r="AD629" s="155"/>
      <c r="AE629" s="156"/>
      <c r="AF629" s="157"/>
      <c r="AG629" s="297"/>
    </row>
    <row r="630" spans="1:33" s="87" customFormat="1" ht="180" x14ac:dyDescent="0.35">
      <c r="A630" s="270"/>
      <c r="B630" s="127" t="s">
        <v>1059</v>
      </c>
      <c r="C630" s="127" t="s">
        <v>1061</v>
      </c>
      <c r="D630" s="127" t="s">
        <v>1064</v>
      </c>
      <c r="E630" s="128">
        <v>1</v>
      </c>
      <c r="F630" s="128">
        <v>18</v>
      </c>
      <c r="G630" s="235" t="s">
        <v>131</v>
      </c>
      <c r="H630" s="128">
        <v>10</v>
      </c>
      <c r="I630" s="128"/>
      <c r="J630" s="127" t="s">
        <v>397</v>
      </c>
      <c r="K630" s="511" t="s">
        <v>886</v>
      </c>
      <c r="L630" s="512"/>
      <c r="M630" s="512"/>
      <c r="N630" s="513"/>
      <c r="O630" s="251" t="s">
        <v>362</v>
      </c>
      <c r="P630" s="251" t="s">
        <v>1032</v>
      </c>
      <c r="Q630" s="333">
        <f>SUM(Q631:Q655)</f>
        <v>1911850000</v>
      </c>
      <c r="R630" s="251" t="s">
        <v>1033</v>
      </c>
      <c r="S630" s="333">
        <f>SUM(S631:S655)</f>
        <v>2178750000</v>
      </c>
      <c r="T630" s="251" t="s">
        <v>1047</v>
      </c>
      <c r="U630" s="333">
        <f>SUM(U631:U655)</f>
        <v>2287687500</v>
      </c>
      <c r="V630" s="251" t="s">
        <v>348</v>
      </c>
      <c r="W630" s="333">
        <f>SUM(W631:W655)</f>
        <v>2402071875</v>
      </c>
      <c r="X630" s="251" t="s">
        <v>1048</v>
      </c>
      <c r="Y630" s="333">
        <f>SUM(Y631:Y655)</f>
        <v>2585555437.5</v>
      </c>
      <c r="Z630" s="251" t="s">
        <v>1048</v>
      </c>
      <c r="AA630" s="351">
        <f>Y630+W630+U630+S630+Q630</f>
        <v>11365914812.5</v>
      </c>
      <c r="AB630" s="127" t="s">
        <v>66</v>
      </c>
      <c r="AC630" s="224"/>
      <c r="AD630" s="224"/>
      <c r="AE630" s="203"/>
      <c r="AF630" s="204"/>
      <c r="AG630" s="316" t="s">
        <v>75</v>
      </c>
    </row>
    <row r="631" spans="1:33" ht="18" x14ac:dyDescent="0.3">
      <c r="B631" s="316"/>
      <c r="C631" s="316"/>
      <c r="E631" s="128"/>
      <c r="F631" s="128"/>
      <c r="G631" s="128"/>
      <c r="H631" s="128"/>
      <c r="I631" s="128"/>
      <c r="J631" s="127" t="s">
        <v>63</v>
      </c>
      <c r="K631" s="158"/>
      <c r="L631" s="159"/>
      <c r="M631" s="159"/>
      <c r="N631" s="315"/>
      <c r="O631" s="316"/>
      <c r="P631" s="316"/>
      <c r="Q631" s="338"/>
      <c r="R631" s="328">
        <f>S630-2178750000</f>
        <v>0</v>
      </c>
      <c r="S631" s="338"/>
      <c r="T631" s="316"/>
      <c r="U631" s="177"/>
      <c r="V631" s="316"/>
      <c r="W631" s="177"/>
      <c r="X631" s="316"/>
      <c r="Y631" s="177"/>
      <c r="Z631" s="316"/>
      <c r="AA631" s="178"/>
      <c r="AB631" s="316"/>
      <c r="AC631" s="155"/>
      <c r="AD631" s="155"/>
      <c r="AE631" s="156"/>
      <c r="AF631" s="157"/>
      <c r="AG631" s="127"/>
    </row>
    <row r="632" spans="1:33" ht="33" x14ac:dyDescent="0.3">
      <c r="B632" s="316"/>
      <c r="C632" s="316"/>
      <c r="E632" s="143">
        <v>1</v>
      </c>
      <c r="F632" s="143">
        <v>18</v>
      </c>
      <c r="G632" s="228" t="s">
        <v>131</v>
      </c>
      <c r="H632" s="143">
        <v>10</v>
      </c>
      <c r="I632" s="136">
        <v>1</v>
      </c>
      <c r="J632" s="316" t="s">
        <v>398</v>
      </c>
      <c r="K632" s="158" t="s">
        <v>290</v>
      </c>
      <c r="L632" s="159" t="s">
        <v>291</v>
      </c>
      <c r="M632" s="514" t="s">
        <v>312</v>
      </c>
      <c r="N632" s="515"/>
      <c r="O632" s="316" t="s">
        <v>301</v>
      </c>
      <c r="P632" s="316" t="s">
        <v>301</v>
      </c>
      <c r="Q632" s="338">
        <v>1311850000</v>
      </c>
      <c r="R632" s="316" t="s">
        <v>301</v>
      </c>
      <c r="S632" s="334">
        <f>1904345000-414122500+500</f>
        <v>1490223000</v>
      </c>
      <c r="T632" s="316" t="s">
        <v>301</v>
      </c>
      <c r="U632" s="334">
        <f>S632+(S632*10%)-108936800</f>
        <v>1530308500</v>
      </c>
      <c r="V632" s="316" t="s">
        <v>301</v>
      </c>
      <c r="W632" s="334">
        <f>U632+(U632*10%)-114383475</f>
        <v>1568955875</v>
      </c>
      <c r="X632" s="316" t="s">
        <v>301</v>
      </c>
      <c r="Y632" s="334">
        <f>W632+(W632*10%)-56723025</f>
        <v>1669128437.5</v>
      </c>
      <c r="Z632" s="316" t="s">
        <v>301</v>
      </c>
      <c r="AA632" s="178">
        <f>Y632+W632+U632+S632+Q632</f>
        <v>7570465812.5</v>
      </c>
      <c r="AB632" s="316" t="s">
        <v>66</v>
      </c>
      <c r="AC632" s="155"/>
      <c r="AD632" s="155"/>
      <c r="AE632" s="156"/>
      <c r="AF632" s="157"/>
      <c r="AG632" s="316" t="s">
        <v>237</v>
      </c>
    </row>
    <row r="633" spans="1:33" ht="115.5" x14ac:dyDescent="0.3">
      <c r="B633" s="316"/>
      <c r="C633" s="316"/>
      <c r="E633" s="143"/>
      <c r="F633" s="143"/>
      <c r="G633" s="228"/>
      <c r="H633" s="143"/>
      <c r="I633" s="136"/>
      <c r="J633" s="316"/>
      <c r="K633" s="158" t="s">
        <v>293</v>
      </c>
      <c r="L633" s="159" t="s">
        <v>291</v>
      </c>
      <c r="M633" s="160" t="s">
        <v>299</v>
      </c>
      <c r="N633" s="205" t="s">
        <v>887</v>
      </c>
      <c r="O633" s="206" t="s">
        <v>888</v>
      </c>
      <c r="P633" s="206" t="s">
        <v>888</v>
      </c>
      <c r="Q633" s="338"/>
      <c r="R633" s="206" t="s">
        <v>888</v>
      </c>
      <c r="S633" s="338"/>
      <c r="T633" s="206" t="s">
        <v>888</v>
      </c>
      <c r="U633" s="177"/>
      <c r="V633" s="206" t="s">
        <v>888</v>
      </c>
      <c r="W633" s="177"/>
      <c r="X633" s="206" t="s">
        <v>888</v>
      </c>
      <c r="Y633" s="177"/>
      <c r="Z633" s="206" t="s">
        <v>888</v>
      </c>
      <c r="AA633" s="178"/>
      <c r="AB633" s="316"/>
      <c r="AC633" s="155"/>
      <c r="AD633" s="155"/>
      <c r="AE633" s="156"/>
      <c r="AF633" s="157"/>
      <c r="AG633" s="297"/>
    </row>
    <row r="634" spans="1:33" ht="49.5" x14ac:dyDescent="0.3">
      <c r="B634" s="316"/>
      <c r="C634" s="316"/>
      <c r="E634" s="143"/>
      <c r="F634" s="143"/>
      <c r="G634" s="228"/>
      <c r="H634" s="143"/>
      <c r="I634" s="136"/>
      <c r="J634" s="316"/>
      <c r="K634" s="158"/>
      <c r="L634" s="159"/>
      <c r="M634" s="160" t="s">
        <v>303</v>
      </c>
      <c r="N634" s="205" t="s">
        <v>889</v>
      </c>
      <c r="O634" s="206" t="s">
        <v>890</v>
      </c>
      <c r="P634" s="206" t="s">
        <v>890</v>
      </c>
      <c r="Q634" s="338"/>
      <c r="R634" s="206" t="s">
        <v>890</v>
      </c>
      <c r="S634" s="338"/>
      <c r="T634" s="206" t="s">
        <v>890</v>
      </c>
      <c r="U634" s="177"/>
      <c r="V634" s="206" t="s">
        <v>890</v>
      </c>
      <c r="W634" s="177"/>
      <c r="X634" s="206" t="s">
        <v>890</v>
      </c>
      <c r="Y634" s="177"/>
      <c r="Z634" s="206" t="s">
        <v>890</v>
      </c>
      <c r="AA634" s="178"/>
      <c r="AB634" s="316"/>
      <c r="AC634" s="155"/>
      <c r="AD634" s="155"/>
      <c r="AE634" s="156"/>
      <c r="AF634" s="157"/>
      <c r="AG634" s="297"/>
    </row>
    <row r="635" spans="1:33" ht="49.5" x14ac:dyDescent="0.3">
      <c r="B635" s="316"/>
      <c r="C635" s="316"/>
      <c r="E635" s="143"/>
      <c r="F635" s="143"/>
      <c r="G635" s="228"/>
      <c r="H635" s="143"/>
      <c r="I635" s="136"/>
      <c r="J635" s="316"/>
      <c r="K635" s="158"/>
      <c r="L635" s="159"/>
      <c r="M635" s="160" t="s">
        <v>318</v>
      </c>
      <c r="N635" s="205" t="s">
        <v>891</v>
      </c>
      <c r="O635" s="206" t="s">
        <v>892</v>
      </c>
      <c r="P635" s="206" t="s">
        <v>892</v>
      </c>
      <c r="Q635" s="338"/>
      <c r="R635" s="206" t="s">
        <v>892</v>
      </c>
      <c r="S635" s="338"/>
      <c r="T635" s="206" t="s">
        <v>892</v>
      </c>
      <c r="U635" s="177"/>
      <c r="V635" s="206" t="s">
        <v>892</v>
      </c>
      <c r="W635" s="177"/>
      <c r="X635" s="206" t="s">
        <v>892</v>
      </c>
      <c r="Y635" s="177"/>
      <c r="Z635" s="206" t="s">
        <v>892</v>
      </c>
      <c r="AA635" s="178"/>
      <c r="AB635" s="316"/>
      <c r="AC635" s="155"/>
      <c r="AD635" s="155"/>
      <c r="AE635" s="156"/>
      <c r="AF635" s="157"/>
      <c r="AG635" s="297"/>
    </row>
    <row r="636" spans="1:33" ht="49.5" x14ac:dyDescent="0.3">
      <c r="B636" s="316"/>
      <c r="C636" s="316"/>
      <c r="E636" s="143"/>
      <c r="F636" s="143"/>
      <c r="G636" s="228"/>
      <c r="H636" s="143"/>
      <c r="I636" s="136"/>
      <c r="J636" s="316"/>
      <c r="K636" s="158"/>
      <c r="L636" s="159"/>
      <c r="M636" s="160" t="s">
        <v>331</v>
      </c>
      <c r="N636" s="205" t="s">
        <v>893</v>
      </c>
      <c r="O636" s="206" t="s">
        <v>894</v>
      </c>
      <c r="P636" s="206" t="s">
        <v>894</v>
      </c>
      <c r="Q636" s="338"/>
      <c r="R636" s="206" t="s">
        <v>894</v>
      </c>
      <c r="S636" s="338"/>
      <c r="T636" s="206" t="s">
        <v>894</v>
      </c>
      <c r="U636" s="177"/>
      <c r="V636" s="206" t="s">
        <v>894</v>
      </c>
      <c r="W636" s="177"/>
      <c r="X636" s="206" t="s">
        <v>894</v>
      </c>
      <c r="Y636" s="177"/>
      <c r="Z636" s="206" t="s">
        <v>894</v>
      </c>
      <c r="AA636" s="178"/>
      <c r="AB636" s="316"/>
      <c r="AC636" s="155"/>
      <c r="AD636" s="155"/>
      <c r="AE636" s="156"/>
      <c r="AF636" s="157"/>
      <c r="AG636" s="297"/>
    </row>
    <row r="637" spans="1:33" ht="82.5" x14ac:dyDescent="0.3">
      <c r="B637" s="316"/>
      <c r="C637" s="316"/>
      <c r="E637" s="143"/>
      <c r="F637" s="143"/>
      <c r="G637" s="228"/>
      <c r="H637" s="143"/>
      <c r="I637" s="136"/>
      <c r="J637" s="316"/>
      <c r="K637" s="158"/>
      <c r="L637" s="159"/>
      <c r="M637" s="160" t="s">
        <v>353</v>
      </c>
      <c r="N637" s="205" t="s">
        <v>895</v>
      </c>
      <c r="O637" s="206" t="s">
        <v>896</v>
      </c>
      <c r="P637" s="206" t="s">
        <v>896</v>
      </c>
      <c r="Q637" s="338"/>
      <c r="R637" s="206" t="s">
        <v>896</v>
      </c>
      <c r="S637" s="338"/>
      <c r="T637" s="206" t="s">
        <v>896</v>
      </c>
      <c r="U637" s="177"/>
      <c r="V637" s="206" t="s">
        <v>896</v>
      </c>
      <c r="W637" s="177"/>
      <c r="X637" s="206" t="s">
        <v>896</v>
      </c>
      <c r="Y637" s="177"/>
      <c r="Z637" s="206" t="s">
        <v>896</v>
      </c>
      <c r="AA637" s="178"/>
      <c r="AB637" s="316"/>
      <c r="AC637" s="155"/>
      <c r="AD637" s="155"/>
      <c r="AE637" s="156"/>
      <c r="AF637" s="157"/>
      <c r="AG637" s="297"/>
    </row>
    <row r="638" spans="1:33" ht="49.5" x14ac:dyDescent="0.3">
      <c r="B638" s="316"/>
      <c r="C638" s="316"/>
      <c r="E638" s="143"/>
      <c r="F638" s="143"/>
      <c r="G638" s="228"/>
      <c r="H638" s="143"/>
      <c r="I638" s="136"/>
      <c r="J638" s="316"/>
      <c r="K638" s="158"/>
      <c r="L638" s="159"/>
      <c r="M638" s="160" t="s">
        <v>352</v>
      </c>
      <c r="N638" s="205" t="s">
        <v>897</v>
      </c>
      <c r="O638" s="206" t="s">
        <v>898</v>
      </c>
      <c r="P638" s="206" t="s">
        <v>898</v>
      </c>
      <c r="Q638" s="338"/>
      <c r="R638" s="206" t="s">
        <v>898</v>
      </c>
      <c r="S638" s="338"/>
      <c r="T638" s="206" t="s">
        <v>898</v>
      </c>
      <c r="U638" s="177"/>
      <c r="V638" s="206" t="s">
        <v>898</v>
      </c>
      <c r="W638" s="177"/>
      <c r="X638" s="206" t="s">
        <v>898</v>
      </c>
      <c r="Y638" s="177"/>
      <c r="Z638" s="206" t="s">
        <v>898</v>
      </c>
      <c r="AA638" s="178"/>
      <c r="AB638" s="316"/>
      <c r="AC638" s="155"/>
      <c r="AD638" s="155"/>
      <c r="AE638" s="156"/>
      <c r="AF638" s="157"/>
      <c r="AG638" s="297"/>
    </row>
    <row r="639" spans="1:33" ht="231" x14ac:dyDescent="0.3">
      <c r="B639" s="316"/>
      <c r="C639" s="316"/>
      <c r="E639" s="143"/>
      <c r="F639" s="143"/>
      <c r="G639" s="228"/>
      <c r="H639" s="143"/>
      <c r="I639" s="136"/>
      <c r="J639" s="316"/>
      <c r="K639" s="137"/>
      <c r="L639" s="314"/>
      <c r="M639" s="226" t="s">
        <v>402</v>
      </c>
      <c r="N639" s="205" t="s">
        <v>899</v>
      </c>
      <c r="O639" s="206" t="s">
        <v>900</v>
      </c>
      <c r="P639" s="206" t="s">
        <v>900</v>
      </c>
      <c r="Q639" s="338"/>
      <c r="R639" s="206" t="s">
        <v>900</v>
      </c>
      <c r="S639" s="338"/>
      <c r="T639" s="206" t="s">
        <v>900</v>
      </c>
      <c r="U639" s="177"/>
      <c r="V639" s="206" t="s">
        <v>900</v>
      </c>
      <c r="W639" s="177"/>
      <c r="X639" s="206" t="s">
        <v>900</v>
      </c>
      <c r="Y639" s="177"/>
      <c r="Z639" s="206" t="s">
        <v>900</v>
      </c>
      <c r="AA639" s="178"/>
      <c r="AB639" s="316"/>
      <c r="AC639" s="155"/>
      <c r="AD639" s="155"/>
      <c r="AE639" s="156"/>
      <c r="AF639" s="157"/>
      <c r="AG639" s="297"/>
    </row>
    <row r="640" spans="1:33" ht="363" x14ac:dyDescent="0.3">
      <c r="B640" s="316"/>
      <c r="C640" s="316"/>
      <c r="E640" s="143"/>
      <c r="F640" s="143"/>
      <c r="G640" s="228"/>
      <c r="H640" s="143"/>
      <c r="I640" s="136"/>
      <c r="J640" s="316"/>
      <c r="K640" s="137"/>
      <c r="L640" s="314"/>
      <c r="M640" s="226" t="s">
        <v>453</v>
      </c>
      <c r="N640" s="205" t="s">
        <v>901</v>
      </c>
      <c r="O640" s="206" t="s">
        <v>902</v>
      </c>
      <c r="P640" s="206" t="s">
        <v>902</v>
      </c>
      <c r="Q640" s="338"/>
      <c r="R640" s="206" t="s">
        <v>902</v>
      </c>
      <c r="S640" s="338"/>
      <c r="T640" s="206" t="s">
        <v>902</v>
      </c>
      <c r="U640" s="177"/>
      <c r="V640" s="206" t="s">
        <v>902</v>
      </c>
      <c r="W640" s="177"/>
      <c r="X640" s="206" t="s">
        <v>902</v>
      </c>
      <c r="Y640" s="177"/>
      <c r="Z640" s="206" t="s">
        <v>902</v>
      </c>
      <c r="AA640" s="178"/>
      <c r="AB640" s="316"/>
      <c r="AC640" s="155"/>
      <c r="AD640" s="155"/>
      <c r="AE640" s="156"/>
      <c r="AF640" s="157"/>
      <c r="AG640" s="297"/>
    </row>
    <row r="641" spans="2:33" ht="115.5" x14ac:dyDescent="0.3">
      <c r="B641" s="316"/>
      <c r="C641" s="316"/>
      <c r="E641" s="143"/>
      <c r="F641" s="143"/>
      <c r="G641" s="228"/>
      <c r="H641" s="143"/>
      <c r="I641" s="136"/>
      <c r="J641" s="316"/>
      <c r="K641" s="158" t="s">
        <v>294</v>
      </c>
      <c r="L641" s="159" t="s">
        <v>291</v>
      </c>
      <c r="M641" s="226" t="s">
        <v>299</v>
      </c>
      <c r="N641" s="315" t="s">
        <v>903</v>
      </c>
      <c r="O641" s="206" t="s">
        <v>888</v>
      </c>
      <c r="P641" s="206" t="s">
        <v>888</v>
      </c>
      <c r="Q641" s="338"/>
      <c r="R641" s="206" t="s">
        <v>888</v>
      </c>
      <c r="S641" s="338"/>
      <c r="T641" s="206" t="s">
        <v>888</v>
      </c>
      <c r="U641" s="177"/>
      <c r="V641" s="206" t="s">
        <v>888</v>
      </c>
      <c r="W641" s="177"/>
      <c r="X641" s="206" t="s">
        <v>888</v>
      </c>
      <c r="Y641" s="177"/>
      <c r="Z641" s="206" t="s">
        <v>888</v>
      </c>
      <c r="AA641" s="178"/>
      <c r="AB641" s="316"/>
      <c r="AC641" s="155"/>
      <c r="AD641" s="155"/>
      <c r="AE641" s="156"/>
      <c r="AF641" s="157"/>
      <c r="AG641" s="297"/>
    </row>
    <row r="642" spans="2:33" ht="66" x14ac:dyDescent="0.3">
      <c r="B642" s="316"/>
      <c r="C642" s="316"/>
      <c r="E642" s="143"/>
      <c r="F642" s="143"/>
      <c r="G642" s="228"/>
      <c r="H642" s="143"/>
      <c r="I642" s="136"/>
      <c r="J642" s="316"/>
      <c r="K642" s="158"/>
      <c r="L642" s="159"/>
      <c r="M642" s="226" t="s">
        <v>303</v>
      </c>
      <c r="N642" s="315" t="s">
        <v>904</v>
      </c>
      <c r="O642" s="206" t="s">
        <v>890</v>
      </c>
      <c r="P642" s="206" t="s">
        <v>890</v>
      </c>
      <c r="Q642" s="338"/>
      <c r="R642" s="206" t="s">
        <v>890</v>
      </c>
      <c r="S642" s="338"/>
      <c r="T642" s="206" t="s">
        <v>890</v>
      </c>
      <c r="U642" s="177"/>
      <c r="V642" s="206" t="s">
        <v>890</v>
      </c>
      <c r="W642" s="177"/>
      <c r="X642" s="206" t="s">
        <v>890</v>
      </c>
      <c r="Y642" s="177"/>
      <c r="Z642" s="206" t="s">
        <v>890</v>
      </c>
      <c r="AA642" s="178"/>
      <c r="AB642" s="316"/>
      <c r="AC642" s="155"/>
      <c r="AD642" s="155"/>
      <c r="AE642" s="156"/>
      <c r="AF642" s="157"/>
      <c r="AG642" s="297"/>
    </row>
    <row r="643" spans="2:33" ht="66" x14ac:dyDescent="0.3">
      <c r="B643" s="316"/>
      <c r="C643" s="316"/>
      <c r="E643" s="143"/>
      <c r="F643" s="143"/>
      <c r="G643" s="228"/>
      <c r="H643" s="143"/>
      <c r="I643" s="136"/>
      <c r="J643" s="316"/>
      <c r="K643" s="158"/>
      <c r="L643" s="159"/>
      <c r="M643" s="226" t="s">
        <v>318</v>
      </c>
      <c r="N643" s="315" t="s">
        <v>905</v>
      </c>
      <c r="O643" s="316" t="s">
        <v>906</v>
      </c>
      <c r="P643" s="316" t="s">
        <v>906</v>
      </c>
      <c r="Q643" s="338"/>
      <c r="R643" s="316" t="s">
        <v>906</v>
      </c>
      <c r="S643" s="338"/>
      <c r="T643" s="316" t="s">
        <v>906</v>
      </c>
      <c r="U643" s="177"/>
      <c r="V643" s="316" t="s">
        <v>906</v>
      </c>
      <c r="W643" s="177"/>
      <c r="X643" s="316" t="s">
        <v>906</v>
      </c>
      <c r="Y643" s="177"/>
      <c r="Z643" s="316" t="s">
        <v>906</v>
      </c>
      <c r="AA643" s="178"/>
      <c r="AB643" s="316"/>
      <c r="AC643" s="155"/>
      <c r="AD643" s="155"/>
      <c r="AE643" s="156"/>
      <c r="AF643" s="157"/>
      <c r="AG643" s="297"/>
    </row>
    <row r="644" spans="2:33" ht="66" x14ac:dyDescent="0.3">
      <c r="B644" s="316"/>
      <c r="C644" s="316"/>
      <c r="E644" s="143"/>
      <c r="F644" s="143"/>
      <c r="G644" s="228"/>
      <c r="H644" s="143"/>
      <c r="I644" s="136"/>
      <c r="J644" s="316"/>
      <c r="K644" s="158"/>
      <c r="L644" s="159"/>
      <c r="M644" s="226" t="s">
        <v>331</v>
      </c>
      <c r="N644" s="315" t="s">
        <v>907</v>
      </c>
      <c r="O644" s="206" t="s">
        <v>894</v>
      </c>
      <c r="P644" s="206" t="s">
        <v>894</v>
      </c>
      <c r="Q644" s="338"/>
      <c r="R644" s="206" t="s">
        <v>894</v>
      </c>
      <c r="S644" s="338"/>
      <c r="T644" s="206" t="s">
        <v>894</v>
      </c>
      <c r="U644" s="177"/>
      <c r="V644" s="206" t="s">
        <v>894</v>
      </c>
      <c r="W644" s="177"/>
      <c r="X644" s="206" t="s">
        <v>894</v>
      </c>
      <c r="Y644" s="177"/>
      <c r="Z644" s="206" t="s">
        <v>894</v>
      </c>
      <c r="AA644" s="178"/>
      <c r="AB644" s="316"/>
      <c r="AC644" s="155"/>
      <c r="AD644" s="155"/>
      <c r="AE644" s="156"/>
      <c r="AF644" s="157"/>
      <c r="AG644" s="297"/>
    </row>
    <row r="645" spans="2:33" ht="49.5" x14ac:dyDescent="0.3">
      <c r="B645" s="316"/>
      <c r="C645" s="316"/>
      <c r="E645" s="143"/>
      <c r="F645" s="143"/>
      <c r="G645" s="228"/>
      <c r="H645" s="143"/>
      <c r="I645" s="136"/>
      <c r="J645" s="316"/>
      <c r="K645" s="158"/>
      <c r="L645" s="159"/>
      <c r="M645" s="226" t="s">
        <v>353</v>
      </c>
      <c r="N645" s="315" t="s">
        <v>908</v>
      </c>
      <c r="O645" s="316" t="s">
        <v>909</v>
      </c>
      <c r="P645" s="316" t="s">
        <v>909</v>
      </c>
      <c r="Q645" s="338"/>
      <c r="R645" s="316" t="s">
        <v>909</v>
      </c>
      <c r="S645" s="338"/>
      <c r="T645" s="316" t="s">
        <v>909</v>
      </c>
      <c r="U645" s="177"/>
      <c r="V645" s="316" t="s">
        <v>909</v>
      </c>
      <c r="W645" s="177"/>
      <c r="X645" s="316" t="s">
        <v>909</v>
      </c>
      <c r="Y645" s="177"/>
      <c r="Z645" s="316" t="s">
        <v>909</v>
      </c>
      <c r="AA645" s="178"/>
      <c r="AB645" s="316"/>
      <c r="AC645" s="155"/>
      <c r="AD645" s="155"/>
      <c r="AE645" s="156"/>
      <c r="AF645" s="157"/>
      <c r="AG645" s="297"/>
    </row>
    <row r="646" spans="2:33" ht="82.5" x14ac:dyDescent="0.3">
      <c r="B646" s="316"/>
      <c r="C646" s="316"/>
      <c r="E646" s="143"/>
      <c r="F646" s="143"/>
      <c r="G646" s="228"/>
      <c r="H646" s="143"/>
      <c r="I646" s="136"/>
      <c r="J646" s="316"/>
      <c r="K646" s="158"/>
      <c r="L646" s="159"/>
      <c r="M646" s="226" t="s">
        <v>352</v>
      </c>
      <c r="N646" s="315" t="s">
        <v>910</v>
      </c>
      <c r="O646" s="252" t="s">
        <v>911</v>
      </c>
      <c r="P646" s="252" t="s">
        <v>911</v>
      </c>
      <c r="Q646" s="338"/>
      <c r="R646" s="252" t="s">
        <v>911</v>
      </c>
      <c r="S646" s="338"/>
      <c r="T646" s="252" t="s">
        <v>911</v>
      </c>
      <c r="U646" s="177"/>
      <c r="V646" s="252" t="s">
        <v>911</v>
      </c>
      <c r="W646" s="177"/>
      <c r="X646" s="252" t="s">
        <v>911</v>
      </c>
      <c r="Y646" s="177"/>
      <c r="Z646" s="252" t="s">
        <v>911</v>
      </c>
      <c r="AA646" s="178"/>
      <c r="AB646" s="316"/>
      <c r="AC646" s="155"/>
      <c r="AD646" s="155"/>
      <c r="AE646" s="156"/>
      <c r="AF646" s="157"/>
      <c r="AG646" s="297"/>
    </row>
    <row r="647" spans="2:33" ht="33" x14ac:dyDescent="0.3">
      <c r="B647" s="316"/>
      <c r="C647" s="316"/>
      <c r="E647" s="143"/>
      <c r="F647" s="143"/>
      <c r="G647" s="143"/>
      <c r="H647" s="143"/>
      <c r="I647" s="143"/>
      <c r="J647" s="316"/>
      <c r="K647" s="158"/>
      <c r="L647" s="159"/>
      <c r="M647" s="226" t="s">
        <v>402</v>
      </c>
      <c r="N647" s="315" t="s">
        <v>912</v>
      </c>
      <c r="O647" s="252">
        <v>1</v>
      </c>
      <c r="P647" s="252">
        <v>1</v>
      </c>
      <c r="Q647" s="338"/>
      <c r="R647" s="252">
        <v>1</v>
      </c>
      <c r="S647" s="338"/>
      <c r="T647" s="252">
        <v>1</v>
      </c>
      <c r="U647" s="177"/>
      <c r="V647" s="252">
        <v>1</v>
      </c>
      <c r="W647" s="177"/>
      <c r="X647" s="252">
        <v>1</v>
      </c>
      <c r="Y647" s="177"/>
      <c r="Z647" s="252">
        <v>1</v>
      </c>
      <c r="AA647" s="178"/>
      <c r="AB647" s="316"/>
      <c r="AC647" s="155"/>
      <c r="AD647" s="155"/>
      <c r="AE647" s="156"/>
      <c r="AF647" s="157"/>
      <c r="AG647" s="297"/>
    </row>
    <row r="648" spans="2:33" ht="33" x14ac:dyDescent="0.3">
      <c r="B648" s="316"/>
      <c r="C648" s="316"/>
      <c r="E648" s="143"/>
      <c r="F648" s="143"/>
      <c r="G648" s="143"/>
      <c r="H648" s="143"/>
      <c r="I648" s="143"/>
      <c r="J648" s="316"/>
      <c r="K648" s="137" t="s">
        <v>295</v>
      </c>
      <c r="L648" s="314" t="s">
        <v>291</v>
      </c>
      <c r="M648" s="509" t="s">
        <v>913</v>
      </c>
      <c r="N648" s="510"/>
      <c r="O648" s="137"/>
      <c r="P648" s="137"/>
      <c r="Q648" s="338"/>
      <c r="R648" s="137"/>
      <c r="S648" s="338"/>
      <c r="T648" s="137"/>
      <c r="U648" s="177"/>
      <c r="V648" s="137"/>
      <c r="W648" s="177"/>
      <c r="X648" s="137"/>
      <c r="Y648" s="177"/>
      <c r="Z648" s="137"/>
      <c r="AA648" s="178"/>
      <c r="AB648" s="316"/>
      <c r="AC648" s="155"/>
      <c r="AD648" s="155"/>
      <c r="AE648" s="156"/>
      <c r="AF648" s="157"/>
      <c r="AG648" s="297"/>
    </row>
    <row r="649" spans="2:33" ht="33" x14ac:dyDescent="0.3">
      <c r="B649" s="179"/>
      <c r="C649" s="179"/>
      <c r="D649" s="298"/>
      <c r="E649" s="180"/>
      <c r="F649" s="180"/>
      <c r="G649" s="238"/>
      <c r="H649" s="180"/>
      <c r="I649" s="181"/>
      <c r="J649" s="179"/>
      <c r="K649" s="183" t="s">
        <v>297</v>
      </c>
      <c r="L649" s="182" t="s">
        <v>291</v>
      </c>
      <c r="M649" s="198" t="s">
        <v>869</v>
      </c>
      <c r="N649" s="198"/>
      <c r="O649" s="183"/>
      <c r="P649" s="183"/>
      <c r="Q649" s="339"/>
      <c r="R649" s="183"/>
      <c r="S649" s="339"/>
      <c r="T649" s="183"/>
      <c r="U649" s="347"/>
      <c r="V649" s="183"/>
      <c r="W649" s="347"/>
      <c r="X649" s="183"/>
      <c r="Y649" s="347"/>
      <c r="Z649" s="183"/>
      <c r="AA649" s="350"/>
      <c r="AB649" s="179"/>
      <c r="AC649" s="187"/>
      <c r="AD649" s="187"/>
      <c r="AE649" s="188"/>
      <c r="AF649" s="189"/>
      <c r="AG649" s="299"/>
    </row>
    <row r="650" spans="2:33" x14ac:dyDescent="0.3">
      <c r="B650" s="316"/>
      <c r="C650" s="316"/>
      <c r="E650" s="143"/>
      <c r="F650" s="143"/>
      <c r="G650" s="143"/>
      <c r="H650" s="143"/>
      <c r="I650" s="143"/>
      <c r="J650" s="253"/>
      <c r="K650" s="158"/>
      <c r="L650" s="159"/>
      <c r="M650" s="159"/>
      <c r="N650" s="315"/>
      <c r="O650" s="316"/>
      <c r="P650" s="316"/>
      <c r="Q650" s="338"/>
      <c r="R650" s="316"/>
      <c r="S650" s="338"/>
      <c r="T650" s="316"/>
      <c r="U650" s="177"/>
      <c r="V650" s="316"/>
      <c r="W650" s="177"/>
      <c r="X650" s="316"/>
      <c r="Y650" s="177"/>
      <c r="Z650" s="316"/>
      <c r="AA650" s="178"/>
      <c r="AB650" s="316"/>
      <c r="AC650" s="155"/>
      <c r="AD650" s="155"/>
      <c r="AE650" s="156"/>
      <c r="AF650" s="157"/>
      <c r="AG650" s="297"/>
    </row>
    <row r="651" spans="2:33" ht="33" x14ac:dyDescent="0.3">
      <c r="B651" s="316"/>
      <c r="C651" s="316"/>
      <c r="E651" s="143">
        <v>1</v>
      </c>
      <c r="F651" s="143">
        <v>18</v>
      </c>
      <c r="G651" s="228" t="s">
        <v>131</v>
      </c>
      <c r="H651" s="143">
        <v>10</v>
      </c>
      <c r="I651" s="136">
        <v>2</v>
      </c>
      <c r="J651" s="316" t="s">
        <v>399</v>
      </c>
      <c r="K651" s="158" t="s">
        <v>290</v>
      </c>
      <c r="L651" s="159" t="s">
        <v>291</v>
      </c>
      <c r="M651" s="514" t="s">
        <v>312</v>
      </c>
      <c r="N651" s="515"/>
      <c r="O651" s="316" t="s">
        <v>301</v>
      </c>
      <c r="P651" s="316" t="s">
        <v>301</v>
      </c>
      <c r="Q651" s="338">
        <v>600000000</v>
      </c>
      <c r="R651" s="316" t="s">
        <v>301</v>
      </c>
      <c r="S651" s="334">
        <f>688527500-500</f>
        <v>688527000</v>
      </c>
      <c r="T651" s="316" t="s">
        <v>301</v>
      </c>
      <c r="U651" s="334">
        <f>S651+(S651*10%)-700</f>
        <v>757379000</v>
      </c>
      <c r="V651" s="316" t="s">
        <v>301</v>
      </c>
      <c r="W651" s="334">
        <f>U651+(U651*10%)-900</f>
        <v>833116000</v>
      </c>
      <c r="X651" s="316" t="s">
        <v>301</v>
      </c>
      <c r="Y651" s="334">
        <f>W651+(W651*10%)-600</f>
        <v>916427000</v>
      </c>
      <c r="Z651" s="316" t="s">
        <v>301</v>
      </c>
      <c r="AA651" s="178">
        <f>Y651+W651+U651+S651+Q651</f>
        <v>3795449000</v>
      </c>
      <c r="AB651" s="316" t="s">
        <v>66</v>
      </c>
      <c r="AC651" s="155"/>
      <c r="AD651" s="155"/>
      <c r="AE651" s="156"/>
      <c r="AF651" s="157"/>
      <c r="AG651" s="316" t="s">
        <v>75</v>
      </c>
    </row>
    <row r="652" spans="2:33" ht="99" x14ac:dyDescent="0.3">
      <c r="B652" s="316"/>
      <c r="C652" s="316"/>
      <c r="E652" s="143"/>
      <c r="F652" s="143"/>
      <c r="G652" s="228"/>
      <c r="H652" s="143"/>
      <c r="I652" s="136"/>
      <c r="J652" s="316"/>
      <c r="K652" s="158" t="s">
        <v>293</v>
      </c>
      <c r="L652" s="159" t="s">
        <v>291</v>
      </c>
      <c r="M652" s="160" t="s">
        <v>299</v>
      </c>
      <c r="N652" s="205" t="s">
        <v>914</v>
      </c>
      <c r="O652" s="206" t="s">
        <v>915</v>
      </c>
      <c r="P652" s="206" t="s">
        <v>915</v>
      </c>
      <c r="Q652" s="338"/>
      <c r="R652" s="206" t="s">
        <v>915</v>
      </c>
      <c r="S652" s="338"/>
      <c r="T652" s="206" t="s">
        <v>915</v>
      </c>
      <c r="U652" s="177"/>
      <c r="V652" s="206" t="s">
        <v>915</v>
      </c>
      <c r="W652" s="177"/>
      <c r="X652" s="206" t="s">
        <v>915</v>
      </c>
      <c r="Y652" s="177"/>
      <c r="Z652" s="206" t="s">
        <v>915</v>
      </c>
      <c r="AA652" s="178"/>
      <c r="AB652" s="316"/>
      <c r="AC652" s="155"/>
      <c r="AD652" s="155"/>
      <c r="AE652" s="156"/>
      <c r="AF652" s="157"/>
      <c r="AG652" s="297"/>
    </row>
    <row r="653" spans="2:33" ht="99" x14ac:dyDescent="0.3">
      <c r="B653" s="316"/>
      <c r="C653" s="316"/>
      <c r="E653" s="143"/>
      <c r="F653" s="143"/>
      <c r="G653" s="228"/>
      <c r="H653" s="143"/>
      <c r="I653" s="136"/>
      <c r="J653" s="316"/>
      <c r="K653" s="158" t="s">
        <v>294</v>
      </c>
      <c r="L653" s="159" t="s">
        <v>291</v>
      </c>
      <c r="M653" s="226" t="s">
        <v>299</v>
      </c>
      <c r="N653" s="315" t="s">
        <v>916</v>
      </c>
      <c r="O653" s="316" t="s">
        <v>917</v>
      </c>
      <c r="P653" s="316" t="s">
        <v>917</v>
      </c>
      <c r="Q653" s="338"/>
      <c r="R653" s="316" t="s">
        <v>917</v>
      </c>
      <c r="S653" s="338"/>
      <c r="T653" s="316" t="s">
        <v>917</v>
      </c>
      <c r="U653" s="177"/>
      <c r="V653" s="316" t="s">
        <v>917</v>
      </c>
      <c r="W653" s="177"/>
      <c r="X653" s="316" t="s">
        <v>917</v>
      </c>
      <c r="Y653" s="177"/>
      <c r="Z653" s="316" t="s">
        <v>917</v>
      </c>
      <c r="AA653" s="178"/>
      <c r="AB653" s="316"/>
      <c r="AC653" s="155"/>
      <c r="AD653" s="155"/>
      <c r="AE653" s="156"/>
      <c r="AF653" s="157"/>
      <c r="AG653" s="297"/>
    </row>
    <row r="654" spans="2:33" ht="33" x14ac:dyDescent="0.3">
      <c r="B654" s="316"/>
      <c r="C654" s="316"/>
      <c r="E654" s="143"/>
      <c r="F654" s="143"/>
      <c r="G654" s="228"/>
      <c r="H654" s="143"/>
      <c r="I654" s="136"/>
      <c r="J654" s="316"/>
      <c r="K654" s="137" t="s">
        <v>295</v>
      </c>
      <c r="L654" s="314" t="s">
        <v>291</v>
      </c>
      <c r="M654" s="301" t="s">
        <v>918</v>
      </c>
      <c r="N654" s="197"/>
      <c r="O654" s="316"/>
      <c r="P654" s="316"/>
      <c r="Q654" s="338"/>
      <c r="R654" s="316"/>
      <c r="S654" s="338"/>
      <c r="T654" s="316"/>
      <c r="U654" s="177"/>
      <c r="V654" s="316"/>
      <c r="W654" s="177"/>
      <c r="X654" s="316"/>
      <c r="Y654" s="177"/>
      <c r="Z654" s="316"/>
      <c r="AA654" s="178"/>
      <c r="AB654" s="316"/>
      <c r="AC654" s="155"/>
      <c r="AD654" s="155"/>
      <c r="AE654" s="156"/>
      <c r="AF654" s="157"/>
      <c r="AG654" s="297"/>
    </row>
    <row r="655" spans="2:33" ht="33" x14ac:dyDescent="0.3">
      <c r="B655" s="179"/>
      <c r="C655" s="179"/>
      <c r="D655" s="298"/>
      <c r="E655" s="180"/>
      <c r="F655" s="180"/>
      <c r="G655" s="238"/>
      <c r="H655" s="180"/>
      <c r="I655" s="181"/>
      <c r="J655" s="179"/>
      <c r="K655" s="183" t="s">
        <v>297</v>
      </c>
      <c r="L655" s="182" t="s">
        <v>291</v>
      </c>
      <c r="M655" s="230" t="s">
        <v>919</v>
      </c>
      <c r="N655" s="198"/>
      <c r="O655" s="179"/>
      <c r="P655" s="179"/>
      <c r="Q655" s="339"/>
      <c r="R655" s="179"/>
      <c r="S655" s="339"/>
      <c r="T655" s="179"/>
      <c r="U655" s="347"/>
      <c r="V655" s="179"/>
      <c r="W655" s="347"/>
      <c r="X655" s="179"/>
      <c r="Y655" s="347"/>
      <c r="Z655" s="179"/>
      <c r="AA655" s="350"/>
      <c r="AB655" s="179"/>
      <c r="AC655" s="187"/>
      <c r="AD655" s="187"/>
      <c r="AE655" s="188"/>
      <c r="AF655" s="189"/>
      <c r="AG655" s="299"/>
    </row>
    <row r="656" spans="2:33" ht="18" x14ac:dyDescent="0.3">
      <c r="B656" s="316"/>
      <c r="C656" s="316"/>
      <c r="E656" s="128"/>
      <c r="F656" s="128"/>
      <c r="G656" s="128"/>
      <c r="H656" s="128"/>
      <c r="I656" s="128"/>
      <c r="J656" s="127" t="s">
        <v>60</v>
      </c>
      <c r="K656" s="158"/>
      <c r="L656" s="159"/>
      <c r="M656" s="159"/>
      <c r="N656" s="315"/>
      <c r="O656" s="316"/>
      <c r="P656" s="316"/>
      <c r="Q656" s="338"/>
      <c r="R656" s="316"/>
      <c r="S656" s="338"/>
      <c r="T656" s="316"/>
      <c r="U656" s="177"/>
      <c r="V656" s="316"/>
      <c r="W656" s="177"/>
      <c r="X656" s="316"/>
      <c r="Y656" s="177"/>
      <c r="Z656" s="316"/>
      <c r="AA656" s="178"/>
      <c r="AB656" s="316"/>
      <c r="AC656" s="155"/>
      <c r="AD656" s="155"/>
      <c r="AE656" s="156"/>
      <c r="AF656" s="157"/>
      <c r="AG656" s="297"/>
    </row>
    <row r="657" spans="1:33" s="87" customFormat="1" ht="180" x14ac:dyDescent="0.35">
      <c r="A657" s="270"/>
      <c r="B657" s="127" t="s">
        <v>1059</v>
      </c>
      <c r="C657" s="127" t="s">
        <v>1061</v>
      </c>
      <c r="D657" s="127" t="s">
        <v>1064</v>
      </c>
      <c r="E657" s="128">
        <v>1</v>
      </c>
      <c r="F657" s="128">
        <v>18</v>
      </c>
      <c r="G657" s="235" t="s">
        <v>131</v>
      </c>
      <c r="H657" s="128">
        <v>11</v>
      </c>
      <c r="I657" s="128"/>
      <c r="J657" s="127" t="s">
        <v>247</v>
      </c>
      <c r="K657" s="511" t="s">
        <v>921</v>
      </c>
      <c r="L657" s="512"/>
      <c r="M657" s="512"/>
      <c r="N657" s="513"/>
      <c r="O657" s="127" t="s">
        <v>922</v>
      </c>
      <c r="P657" s="127" t="s">
        <v>1034</v>
      </c>
      <c r="Q657" s="333">
        <f>SUM(Q659:Q690)</f>
        <v>2785000000</v>
      </c>
      <c r="R657" s="127" t="s">
        <v>1035</v>
      </c>
      <c r="S657" s="333">
        <f>SUM(S659:S690)</f>
        <v>3058500000</v>
      </c>
      <c r="T657" s="127" t="s">
        <v>1049</v>
      </c>
      <c r="U657" s="333">
        <f>SUM(U659:U690)</f>
        <v>3211425000</v>
      </c>
      <c r="V657" s="127" t="s">
        <v>1050</v>
      </c>
      <c r="W657" s="333">
        <f>SUM(W659:W690)</f>
        <v>3371996250</v>
      </c>
      <c r="X657" s="127" t="s">
        <v>1051</v>
      </c>
      <c r="Y657" s="333">
        <f>SUM(Y659:Y690)</f>
        <v>3548864813</v>
      </c>
      <c r="Z657" s="127" t="s">
        <v>1051</v>
      </c>
      <c r="AA657" s="351">
        <f>Y657+W657+U657+S657+Q657</f>
        <v>15975786063</v>
      </c>
      <c r="AB657" s="127" t="s">
        <v>66</v>
      </c>
      <c r="AC657" s="224"/>
      <c r="AD657" s="224"/>
      <c r="AE657" s="203"/>
      <c r="AF657" s="204"/>
      <c r="AG657" s="316" t="s">
        <v>146</v>
      </c>
    </row>
    <row r="658" spans="1:33" ht="18" x14ac:dyDescent="0.3">
      <c r="B658" s="316"/>
      <c r="C658" s="316"/>
      <c r="E658" s="128"/>
      <c r="F658" s="128"/>
      <c r="G658" s="128"/>
      <c r="H658" s="128"/>
      <c r="I658" s="128"/>
      <c r="J658" s="254"/>
      <c r="K658" s="158"/>
      <c r="L658" s="159"/>
      <c r="M658" s="159"/>
      <c r="N658" s="315"/>
      <c r="O658" s="316"/>
      <c r="P658" s="328"/>
      <c r="Q658" s="338"/>
      <c r="R658" s="328"/>
      <c r="S658" s="338"/>
      <c r="T658" s="316"/>
      <c r="U658" s="177"/>
      <c r="V658" s="316"/>
      <c r="W658" s="177"/>
      <c r="X658" s="316"/>
      <c r="Y658" s="177"/>
      <c r="Z658" s="316"/>
      <c r="AA658" s="178"/>
      <c r="AB658" s="316"/>
      <c r="AC658" s="155"/>
      <c r="AD658" s="155"/>
      <c r="AE658" s="156"/>
      <c r="AF658" s="157"/>
      <c r="AG658" s="127"/>
    </row>
    <row r="659" spans="1:33" ht="18" x14ac:dyDescent="0.3">
      <c r="B659" s="316" t="s">
        <v>920</v>
      </c>
      <c r="C659" s="316"/>
      <c r="E659" s="128"/>
      <c r="F659" s="128"/>
      <c r="G659" s="128"/>
      <c r="H659" s="128"/>
      <c r="I659" s="128"/>
      <c r="J659" s="127" t="s">
        <v>63</v>
      </c>
      <c r="K659" s="158"/>
      <c r="L659" s="159"/>
      <c r="M659" s="159"/>
      <c r="N659" s="315"/>
      <c r="O659" s="316"/>
      <c r="P659" s="316"/>
      <c r="Q659" s="338"/>
      <c r="R659" s="316"/>
      <c r="S659" s="338"/>
      <c r="T659" s="316"/>
      <c r="U659" s="177"/>
      <c r="V659" s="316"/>
      <c r="W659" s="177"/>
      <c r="X659" s="316"/>
      <c r="Y659" s="177"/>
      <c r="Z659" s="316"/>
      <c r="AA659" s="178"/>
      <c r="AB659" s="316"/>
      <c r="AC659" s="155"/>
      <c r="AD659" s="155"/>
      <c r="AE659" s="156"/>
      <c r="AF659" s="157"/>
      <c r="AG659" s="127"/>
    </row>
    <row r="660" spans="1:33" ht="33" x14ac:dyDescent="0.3">
      <c r="B660" s="316"/>
      <c r="C660" s="316"/>
      <c r="E660" s="143">
        <v>1</v>
      </c>
      <c r="F660" s="143">
        <v>18</v>
      </c>
      <c r="G660" s="228" t="s">
        <v>131</v>
      </c>
      <c r="H660" s="143">
        <v>11</v>
      </c>
      <c r="I660" s="136">
        <v>1</v>
      </c>
      <c r="J660" s="316" t="s">
        <v>400</v>
      </c>
      <c r="K660" s="158" t="s">
        <v>290</v>
      </c>
      <c r="L660" s="159" t="s">
        <v>291</v>
      </c>
      <c r="M660" s="514" t="s">
        <v>312</v>
      </c>
      <c r="N660" s="515"/>
      <c r="O660" s="316" t="s">
        <v>301</v>
      </c>
      <c r="P660" s="316" t="s">
        <v>301</v>
      </c>
      <c r="Q660" s="338">
        <f>2887997500-117997500-262510000</f>
        <v>2507490000</v>
      </c>
      <c r="R660" s="316" t="s">
        <v>301</v>
      </c>
      <c r="S660" s="338">
        <f>Q660+(Q660*10%)-5000000</f>
        <v>2753239000</v>
      </c>
      <c r="T660" s="316" t="s">
        <v>301</v>
      </c>
      <c r="U660" s="338">
        <f>S660+(S660*10%)-152924900</f>
        <v>2875638000</v>
      </c>
      <c r="V660" s="316" t="s">
        <v>301</v>
      </c>
      <c r="W660" s="338">
        <f>U660+(U660*10%)-160570550</f>
        <v>3002631250</v>
      </c>
      <c r="X660" s="316" t="s">
        <v>301</v>
      </c>
      <c r="Y660" s="338">
        <f>W660+(W660*10%)-160330562</f>
        <v>3142563813</v>
      </c>
      <c r="Z660" s="316" t="s">
        <v>301</v>
      </c>
      <c r="AA660" s="178">
        <f>Y660+W660+U660+S660+Q660</f>
        <v>14281562063</v>
      </c>
      <c r="AB660" s="316" t="s">
        <v>66</v>
      </c>
      <c r="AC660" s="155"/>
      <c r="AD660" s="155"/>
      <c r="AE660" s="156"/>
      <c r="AF660" s="157"/>
      <c r="AG660" s="316" t="s">
        <v>146</v>
      </c>
    </row>
    <row r="661" spans="1:33" ht="99" x14ac:dyDescent="0.3">
      <c r="B661" s="316"/>
      <c r="C661" s="316"/>
      <c r="E661" s="143"/>
      <c r="F661" s="143"/>
      <c r="G661" s="228"/>
      <c r="H661" s="143"/>
      <c r="I661" s="136"/>
      <c r="J661" s="316"/>
      <c r="K661" s="158" t="s">
        <v>293</v>
      </c>
      <c r="L661" s="159" t="s">
        <v>291</v>
      </c>
      <c r="M661" s="160" t="s">
        <v>299</v>
      </c>
      <c r="N661" s="205" t="s">
        <v>923</v>
      </c>
      <c r="O661" s="255" t="s">
        <v>924</v>
      </c>
      <c r="P661" s="255" t="s">
        <v>924</v>
      </c>
      <c r="Q661" s="338"/>
      <c r="R661" s="255" t="s">
        <v>924</v>
      </c>
      <c r="S661" s="338"/>
      <c r="T661" s="255" t="s">
        <v>924</v>
      </c>
      <c r="U661" s="177"/>
      <c r="V661" s="255" t="s">
        <v>924</v>
      </c>
      <c r="W661" s="177"/>
      <c r="X661" s="255" t="s">
        <v>924</v>
      </c>
      <c r="Y661" s="177"/>
      <c r="Z661" s="255" t="s">
        <v>924</v>
      </c>
      <c r="AA661" s="178"/>
      <c r="AB661" s="316"/>
      <c r="AC661" s="155"/>
      <c r="AD661" s="155"/>
      <c r="AE661" s="156"/>
      <c r="AF661" s="157"/>
      <c r="AG661" s="297"/>
    </row>
    <row r="662" spans="1:33" ht="99" x14ac:dyDescent="0.3">
      <c r="B662" s="316"/>
      <c r="C662" s="316"/>
      <c r="E662" s="143"/>
      <c r="F662" s="143"/>
      <c r="G662" s="228"/>
      <c r="H662" s="143"/>
      <c r="I662" s="136"/>
      <c r="J662" s="316"/>
      <c r="K662" s="158"/>
      <c r="L662" s="159"/>
      <c r="M662" s="160" t="s">
        <v>303</v>
      </c>
      <c r="N662" s="205" t="s">
        <v>925</v>
      </c>
      <c r="O662" s="206" t="s">
        <v>926</v>
      </c>
      <c r="P662" s="206" t="s">
        <v>926</v>
      </c>
      <c r="Q662" s="338"/>
      <c r="R662" s="206" t="s">
        <v>926</v>
      </c>
      <c r="S662" s="338"/>
      <c r="T662" s="206" t="s">
        <v>926</v>
      </c>
      <c r="U662" s="177"/>
      <c r="V662" s="206" t="s">
        <v>926</v>
      </c>
      <c r="W662" s="177"/>
      <c r="X662" s="206" t="s">
        <v>926</v>
      </c>
      <c r="Y662" s="177"/>
      <c r="Z662" s="206" t="s">
        <v>926</v>
      </c>
      <c r="AA662" s="178"/>
      <c r="AB662" s="316"/>
      <c r="AC662" s="155"/>
      <c r="AD662" s="155"/>
      <c r="AE662" s="156"/>
      <c r="AF662" s="157"/>
      <c r="AG662" s="297"/>
    </row>
    <row r="663" spans="1:33" ht="66" x14ac:dyDescent="0.3">
      <c r="B663" s="316"/>
      <c r="C663" s="316"/>
      <c r="E663" s="143"/>
      <c r="F663" s="143"/>
      <c r="G663" s="228"/>
      <c r="H663" s="143"/>
      <c r="I663" s="136"/>
      <c r="J663" s="316"/>
      <c r="K663" s="158"/>
      <c r="L663" s="159"/>
      <c r="M663" s="160" t="s">
        <v>318</v>
      </c>
      <c r="N663" s="205" t="s">
        <v>927</v>
      </c>
      <c r="O663" s="206" t="s">
        <v>928</v>
      </c>
      <c r="P663" s="206" t="s">
        <v>928</v>
      </c>
      <c r="Q663" s="338"/>
      <c r="R663" s="206" t="s">
        <v>928</v>
      </c>
      <c r="S663" s="338"/>
      <c r="T663" s="206" t="s">
        <v>928</v>
      </c>
      <c r="U663" s="177"/>
      <c r="V663" s="206" t="s">
        <v>928</v>
      </c>
      <c r="W663" s="177"/>
      <c r="X663" s="206" t="s">
        <v>928</v>
      </c>
      <c r="Y663" s="177"/>
      <c r="Z663" s="206" t="s">
        <v>928</v>
      </c>
      <c r="AA663" s="178"/>
      <c r="AB663" s="316"/>
      <c r="AC663" s="155"/>
      <c r="AD663" s="155"/>
      <c r="AE663" s="156"/>
      <c r="AF663" s="157"/>
      <c r="AG663" s="297"/>
    </row>
    <row r="664" spans="1:33" ht="82.5" x14ac:dyDescent="0.3">
      <c r="B664" s="316"/>
      <c r="C664" s="316"/>
      <c r="E664" s="143"/>
      <c r="F664" s="143"/>
      <c r="G664" s="228"/>
      <c r="H664" s="143"/>
      <c r="I664" s="136"/>
      <c r="J664" s="316"/>
      <c r="K664" s="158"/>
      <c r="L664" s="159"/>
      <c r="M664" s="160" t="s">
        <v>331</v>
      </c>
      <c r="N664" s="205" t="s">
        <v>929</v>
      </c>
      <c r="O664" s="255" t="s">
        <v>146</v>
      </c>
      <c r="P664" s="255" t="s">
        <v>146</v>
      </c>
      <c r="Q664" s="338"/>
      <c r="R664" s="255" t="s">
        <v>146</v>
      </c>
      <c r="S664" s="338"/>
      <c r="T664" s="255" t="s">
        <v>146</v>
      </c>
      <c r="U664" s="177"/>
      <c r="V664" s="255" t="s">
        <v>146</v>
      </c>
      <c r="W664" s="177"/>
      <c r="X664" s="255" t="s">
        <v>146</v>
      </c>
      <c r="Y664" s="177"/>
      <c r="Z664" s="255" t="s">
        <v>146</v>
      </c>
      <c r="AA664" s="178"/>
      <c r="AB664" s="316"/>
      <c r="AC664" s="155"/>
      <c r="AD664" s="155"/>
      <c r="AE664" s="156"/>
      <c r="AF664" s="157"/>
      <c r="AG664" s="297"/>
    </row>
    <row r="665" spans="1:33" ht="33" x14ac:dyDescent="0.3">
      <c r="B665" s="316"/>
      <c r="C665" s="316"/>
      <c r="E665" s="143"/>
      <c r="F665" s="143"/>
      <c r="G665" s="228"/>
      <c r="H665" s="143"/>
      <c r="I665" s="136"/>
      <c r="J665" s="316"/>
      <c r="K665" s="158"/>
      <c r="L665" s="159"/>
      <c r="M665" s="160" t="s">
        <v>353</v>
      </c>
      <c r="N665" s="205" t="s">
        <v>930</v>
      </c>
      <c r="O665" s="255"/>
      <c r="P665" s="255"/>
      <c r="Q665" s="338"/>
      <c r="R665" s="255"/>
      <c r="S665" s="338"/>
      <c r="T665" s="255"/>
      <c r="U665" s="177"/>
      <c r="V665" s="255"/>
      <c r="W665" s="177"/>
      <c r="X665" s="255"/>
      <c r="Y665" s="177"/>
      <c r="Z665" s="255"/>
      <c r="AA665" s="178"/>
      <c r="AB665" s="316"/>
      <c r="AC665" s="155"/>
      <c r="AD665" s="155"/>
      <c r="AE665" s="156"/>
      <c r="AF665" s="157"/>
      <c r="AG665" s="297"/>
    </row>
    <row r="666" spans="1:33" ht="33" x14ac:dyDescent="0.3">
      <c r="B666" s="316"/>
      <c r="C666" s="316"/>
      <c r="E666" s="143"/>
      <c r="F666" s="143"/>
      <c r="G666" s="228"/>
      <c r="H666" s="143"/>
      <c r="I666" s="136"/>
      <c r="J666" s="316"/>
      <c r="K666" s="158"/>
      <c r="L666" s="159"/>
      <c r="M666" s="160" t="s">
        <v>352</v>
      </c>
      <c r="N666" s="205" t="s">
        <v>931</v>
      </c>
      <c r="O666" s="255"/>
      <c r="P666" s="255"/>
      <c r="Q666" s="338"/>
      <c r="R666" s="255"/>
      <c r="S666" s="338"/>
      <c r="T666" s="255"/>
      <c r="U666" s="177"/>
      <c r="V666" s="255"/>
      <c r="W666" s="177"/>
      <c r="X666" s="255"/>
      <c r="Y666" s="177"/>
      <c r="Z666" s="255"/>
      <c r="AA666" s="178"/>
      <c r="AB666" s="316"/>
      <c r="AC666" s="155"/>
      <c r="AD666" s="155"/>
      <c r="AE666" s="156"/>
      <c r="AF666" s="157"/>
      <c r="AG666" s="297"/>
    </row>
    <row r="667" spans="1:33" ht="33" x14ac:dyDescent="0.3">
      <c r="B667" s="316"/>
      <c r="C667" s="316"/>
      <c r="E667" s="143"/>
      <c r="F667" s="143"/>
      <c r="G667" s="228"/>
      <c r="H667" s="143"/>
      <c r="I667" s="136"/>
      <c r="J667" s="316"/>
      <c r="K667" s="137"/>
      <c r="L667" s="314"/>
      <c r="M667" s="226" t="s">
        <v>402</v>
      </c>
      <c r="N667" s="205" t="s">
        <v>932</v>
      </c>
      <c r="O667" s="206" t="s">
        <v>933</v>
      </c>
      <c r="P667" s="206" t="s">
        <v>933</v>
      </c>
      <c r="Q667" s="338"/>
      <c r="R667" s="206" t="s">
        <v>933</v>
      </c>
      <c r="S667" s="338"/>
      <c r="T667" s="206" t="s">
        <v>933</v>
      </c>
      <c r="U667" s="177"/>
      <c r="V667" s="206" t="s">
        <v>933</v>
      </c>
      <c r="W667" s="177"/>
      <c r="X667" s="206" t="s">
        <v>933</v>
      </c>
      <c r="Y667" s="177"/>
      <c r="Z667" s="206" t="s">
        <v>933</v>
      </c>
      <c r="AA667" s="178"/>
      <c r="AB667" s="316"/>
      <c r="AC667" s="155"/>
      <c r="AD667" s="155"/>
      <c r="AE667" s="156"/>
      <c r="AF667" s="157"/>
      <c r="AG667" s="297"/>
    </row>
    <row r="668" spans="1:33" ht="132" x14ac:dyDescent="0.3">
      <c r="B668" s="316"/>
      <c r="C668" s="316"/>
      <c r="E668" s="143"/>
      <c r="F668" s="143"/>
      <c r="G668" s="228"/>
      <c r="H668" s="143"/>
      <c r="I668" s="136"/>
      <c r="J668" s="316"/>
      <c r="K668" s="137"/>
      <c r="L668" s="314"/>
      <c r="M668" s="226" t="s">
        <v>453</v>
      </c>
      <c r="N668" s="205" t="s">
        <v>934</v>
      </c>
      <c r="O668" s="255" t="s">
        <v>935</v>
      </c>
      <c r="P668" s="255" t="s">
        <v>935</v>
      </c>
      <c r="Q668" s="338"/>
      <c r="R668" s="255" t="s">
        <v>935</v>
      </c>
      <c r="S668" s="338"/>
      <c r="T668" s="255" t="s">
        <v>935</v>
      </c>
      <c r="U668" s="177"/>
      <c r="V668" s="255" t="s">
        <v>935</v>
      </c>
      <c r="W668" s="177"/>
      <c r="X668" s="255" t="s">
        <v>935</v>
      </c>
      <c r="Y668" s="177"/>
      <c r="Z668" s="255" t="s">
        <v>935</v>
      </c>
      <c r="AA668" s="178"/>
      <c r="AB668" s="316"/>
      <c r="AC668" s="155"/>
      <c r="AD668" s="155"/>
      <c r="AE668" s="156"/>
      <c r="AF668" s="157"/>
      <c r="AG668" s="297"/>
    </row>
    <row r="669" spans="1:33" ht="49.5" x14ac:dyDescent="0.3">
      <c r="B669" s="316"/>
      <c r="C669" s="316"/>
      <c r="E669" s="143"/>
      <c r="F669" s="143"/>
      <c r="G669" s="228"/>
      <c r="H669" s="143"/>
      <c r="I669" s="136"/>
      <c r="J669" s="316"/>
      <c r="K669" s="137"/>
      <c r="L669" s="314"/>
      <c r="M669" s="226" t="s">
        <v>454</v>
      </c>
      <c r="N669" s="205" t="s">
        <v>936</v>
      </c>
      <c r="O669" s="252" t="s">
        <v>937</v>
      </c>
      <c r="P669" s="252" t="s">
        <v>937</v>
      </c>
      <c r="Q669" s="338"/>
      <c r="R669" s="252" t="s">
        <v>937</v>
      </c>
      <c r="S669" s="338"/>
      <c r="T669" s="252" t="s">
        <v>937</v>
      </c>
      <c r="U669" s="177"/>
      <c r="V669" s="252" t="s">
        <v>937</v>
      </c>
      <c r="W669" s="177"/>
      <c r="X669" s="252" t="s">
        <v>937</v>
      </c>
      <c r="Y669" s="177"/>
      <c r="Z669" s="252" t="s">
        <v>937</v>
      </c>
      <c r="AA669" s="178"/>
      <c r="AB669" s="316"/>
      <c r="AC669" s="155"/>
      <c r="AD669" s="155"/>
      <c r="AE669" s="156"/>
      <c r="AF669" s="157"/>
      <c r="AG669" s="297"/>
    </row>
    <row r="670" spans="1:33" ht="231" x14ac:dyDescent="0.3">
      <c r="B670" s="316"/>
      <c r="C670" s="316"/>
      <c r="E670" s="143"/>
      <c r="F670" s="143"/>
      <c r="G670" s="228"/>
      <c r="H670" s="143"/>
      <c r="I670" s="136"/>
      <c r="J670" s="316"/>
      <c r="K670" s="137"/>
      <c r="L670" s="314"/>
      <c r="M670" s="226" t="s">
        <v>521</v>
      </c>
      <c r="N670" s="205" t="s">
        <v>938</v>
      </c>
      <c r="O670" s="316" t="s">
        <v>939</v>
      </c>
      <c r="P670" s="316" t="s">
        <v>939</v>
      </c>
      <c r="Q670" s="338"/>
      <c r="R670" s="316" t="s">
        <v>939</v>
      </c>
      <c r="S670" s="338"/>
      <c r="T670" s="316" t="s">
        <v>939</v>
      </c>
      <c r="U670" s="177"/>
      <c r="V670" s="316" t="s">
        <v>939</v>
      </c>
      <c r="W670" s="177"/>
      <c r="X670" s="316" t="s">
        <v>939</v>
      </c>
      <c r="Y670" s="177"/>
      <c r="Z670" s="316" t="s">
        <v>939</v>
      </c>
      <c r="AA670" s="178"/>
      <c r="AB670" s="316"/>
      <c r="AC670" s="155"/>
      <c r="AD670" s="155"/>
      <c r="AE670" s="156"/>
      <c r="AF670" s="157"/>
      <c r="AG670" s="297"/>
    </row>
    <row r="671" spans="1:33" ht="66" x14ac:dyDescent="0.3">
      <c r="B671" s="316"/>
      <c r="C671" s="316"/>
      <c r="E671" s="143"/>
      <c r="F671" s="143"/>
      <c r="G671" s="228"/>
      <c r="H671" s="143"/>
      <c r="I671" s="136"/>
      <c r="J671" s="316"/>
      <c r="K671" s="137"/>
      <c r="L671" s="314"/>
      <c r="M671" s="226" t="s">
        <v>522</v>
      </c>
      <c r="N671" s="205" t="s">
        <v>940</v>
      </c>
      <c r="O671" s="316"/>
      <c r="P671" s="316"/>
      <c r="Q671" s="338"/>
      <c r="R671" s="316"/>
      <c r="S671" s="338"/>
      <c r="T671" s="316"/>
      <c r="U671" s="177"/>
      <c r="V671" s="316"/>
      <c r="W671" s="177"/>
      <c r="X671" s="316"/>
      <c r="Y671" s="177"/>
      <c r="Z671" s="316"/>
      <c r="AA671" s="178"/>
      <c r="AB671" s="316"/>
      <c r="AC671" s="155"/>
      <c r="AD671" s="155"/>
      <c r="AE671" s="156"/>
      <c r="AF671" s="157"/>
      <c r="AG671" s="297"/>
    </row>
    <row r="672" spans="1:33" ht="82.5" x14ac:dyDescent="0.3">
      <c r="B672" s="316"/>
      <c r="C672" s="316"/>
      <c r="E672" s="143"/>
      <c r="F672" s="143"/>
      <c r="G672" s="228"/>
      <c r="H672" s="143"/>
      <c r="I672" s="136"/>
      <c r="J672" s="316"/>
      <c r="K672" s="137"/>
      <c r="L672" s="314"/>
      <c r="M672" s="226" t="s">
        <v>523</v>
      </c>
      <c r="N672" s="205" t="s">
        <v>941</v>
      </c>
      <c r="O672" s="316"/>
      <c r="P672" s="316"/>
      <c r="Q672" s="338"/>
      <c r="R672" s="316"/>
      <c r="S672" s="338"/>
      <c r="T672" s="316"/>
      <c r="U672" s="177"/>
      <c r="V672" s="316"/>
      <c r="W672" s="177"/>
      <c r="X672" s="316"/>
      <c r="Y672" s="177"/>
      <c r="Z672" s="316"/>
      <c r="AA672" s="178"/>
      <c r="AB672" s="316"/>
      <c r="AC672" s="155"/>
      <c r="AD672" s="155"/>
      <c r="AE672" s="156"/>
      <c r="AF672" s="157"/>
      <c r="AG672" s="297"/>
    </row>
    <row r="673" spans="2:33" ht="99" x14ac:dyDescent="0.3">
      <c r="B673" s="316"/>
      <c r="C673" s="316"/>
      <c r="E673" s="143"/>
      <c r="F673" s="143"/>
      <c r="G673" s="228"/>
      <c r="H673" s="143"/>
      <c r="I673" s="136"/>
      <c r="J673" s="316"/>
      <c r="K673" s="158" t="s">
        <v>294</v>
      </c>
      <c r="L673" s="159" t="s">
        <v>291</v>
      </c>
      <c r="M673" s="226" t="s">
        <v>299</v>
      </c>
      <c r="N673" s="315" t="s">
        <v>942</v>
      </c>
      <c r="O673" s="255" t="s">
        <v>924</v>
      </c>
      <c r="P673" s="255" t="s">
        <v>924</v>
      </c>
      <c r="Q673" s="338"/>
      <c r="R673" s="255" t="s">
        <v>924</v>
      </c>
      <c r="S673" s="338"/>
      <c r="T673" s="255" t="s">
        <v>924</v>
      </c>
      <c r="U673" s="177"/>
      <c r="V673" s="255" t="s">
        <v>924</v>
      </c>
      <c r="W673" s="177"/>
      <c r="X673" s="255" t="s">
        <v>924</v>
      </c>
      <c r="Y673" s="177"/>
      <c r="Z673" s="255" t="s">
        <v>924</v>
      </c>
      <c r="AA673" s="178"/>
      <c r="AB673" s="316"/>
      <c r="AC673" s="155"/>
      <c r="AD673" s="155"/>
      <c r="AE673" s="156"/>
      <c r="AF673" s="157"/>
      <c r="AG673" s="297"/>
    </row>
    <row r="674" spans="2:33" ht="49.5" x14ac:dyDescent="0.3">
      <c r="B674" s="316"/>
      <c r="C674" s="316"/>
      <c r="E674" s="143"/>
      <c r="F674" s="143"/>
      <c r="G674" s="228"/>
      <c r="H674" s="143"/>
      <c r="I674" s="136"/>
      <c r="J674" s="316"/>
      <c r="K674" s="158"/>
      <c r="L674" s="159"/>
      <c r="M674" s="226" t="s">
        <v>303</v>
      </c>
      <c r="N674" s="315" t="s">
        <v>943</v>
      </c>
      <c r="O674" s="252" t="s">
        <v>944</v>
      </c>
      <c r="P674" s="252" t="s">
        <v>944</v>
      </c>
      <c r="Q674" s="338"/>
      <c r="R674" s="252" t="s">
        <v>944</v>
      </c>
      <c r="S674" s="338"/>
      <c r="T674" s="252" t="s">
        <v>944</v>
      </c>
      <c r="U674" s="177"/>
      <c r="V674" s="252" t="s">
        <v>944</v>
      </c>
      <c r="W674" s="177"/>
      <c r="X674" s="252" t="s">
        <v>944</v>
      </c>
      <c r="Y674" s="177"/>
      <c r="Z674" s="252" t="s">
        <v>944</v>
      </c>
      <c r="AA674" s="178"/>
      <c r="AB674" s="316"/>
      <c r="AC674" s="155"/>
      <c r="AD674" s="155"/>
      <c r="AE674" s="156"/>
      <c r="AF674" s="157"/>
      <c r="AG674" s="297"/>
    </row>
    <row r="675" spans="2:33" ht="49.5" x14ac:dyDescent="0.3">
      <c r="B675" s="316"/>
      <c r="C675" s="316"/>
      <c r="E675" s="143"/>
      <c r="F675" s="143"/>
      <c r="G675" s="228"/>
      <c r="H675" s="143"/>
      <c r="I675" s="136"/>
      <c r="J675" s="316"/>
      <c r="K675" s="158"/>
      <c r="L675" s="159"/>
      <c r="M675" s="226" t="s">
        <v>318</v>
      </c>
      <c r="N675" s="256" t="s">
        <v>945</v>
      </c>
      <c r="O675" s="252"/>
      <c r="P675" s="252"/>
      <c r="Q675" s="338"/>
      <c r="R675" s="252"/>
      <c r="S675" s="338"/>
      <c r="T675" s="252"/>
      <c r="U675" s="177"/>
      <c r="V675" s="252"/>
      <c r="W675" s="177"/>
      <c r="X675" s="252"/>
      <c r="Y675" s="177"/>
      <c r="Z675" s="252"/>
      <c r="AA675" s="178"/>
      <c r="AB675" s="316"/>
      <c r="AC675" s="155"/>
      <c r="AD675" s="155"/>
      <c r="AE675" s="156"/>
      <c r="AF675" s="157"/>
      <c r="AG675" s="297"/>
    </row>
    <row r="676" spans="2:33" ht="33" x14ac:dyDescent="0.3">
      <c r="B676" s="316"/>
      <c r="C676" s="316"/>
      <c r="E676" s="143"/>
      <c r="F676" s="143"/>
      <c r="G676" s="228"/>
      <c r="H676" s="143"/>
      <c r="I676" s="136"/>
      <c r="J676" s="316"/>
      <c r="K676" s="158"/>
      <c r="L676" s="159"/>
      <c r="M676" s="226" t="s">
        <v>331</v>
      </c>
      <c r="N676" s="256" t="s">
        <v>946</v>
      </c>
      <c r="O676" s="316"/>
      <c r="P676" s="316"/>
      <c r="Q676" s="338"/>
      <c r="R676" s="316"/>
      <c r="S676" s="338"/>
      <c r="T676" s="316"/>
      <c r="U676" s="177"/>
      <c r="V676" s="316"/>
      <c r="W676" s="177"/>
      <c r="X676" s="316"/>
      <c r="Y676" s="177"/>
      <c r="Z676" s="316"/>
      <c r="AA676" s="178"/>
      <c r="AB676" s="316"/>
      <c r="AC676" s="155"/>
      <c r="AD676" s="155"/>
      <c r="AE676" s="156"/>
      <c r="AF676" s="157"/>
      <c r="AG676" s="297"/>
    </row>
    <row r="677" spans="2:33" ht="33" x14ac:dyDescent="0.3">
      <c r="B677" s="316"/>
      <c r="C677" s="316"/>
      <c r="E677" s="143"/>
      <c r="F677" s="143"/>
      <c r="G677" s="228"/>
      <c r="H677" s="143"/>
      <c r="I677" s="136"/>
      <c r="J677" s="316"/>
      <c r="K677" s="158"/>
      <c r="L677" s="159"/>
      <c r="M677" s="226" t="s">
        <v>353</v>
      </c>
      <c r="N677" s="315" t="s">
        <v>947</v>
      </c>
      <c r="O677" s="316" t="s">
        <v>933</v>
      </c>
      <c r="P677" s="316" t="s">
        <v>933</v>
      </c>
      <c r="Q677" s="338"/>
      <c r="R677" s="316" t="s">
        <v>933</v>
      </c>
      <c r="S677" s="338"/>
      <c r="T677" s="316" t="s">
        <v>933</v>
      </c>
      <c r="U677" s="177"/>
      <c r="V677" s="316" t="s">
        <v>933</v>
      </c>
      <c r="W677" s="177"/>
      <c r="X677" s="316" t="s">
        <v>933</v>
      </c>
      <c r="Y677" s="177"/>
      <c r="Z677" s="316" t="s">
        <v>933</v>
      </c>
      <c r="AA677" s="178"/>
      <c r="AB677" s="316"/>
      <c r="AC677" s="155"/>
      <c r="AD677" s="155"/>
      <c r="AE677" s="156"/>
      <c r="AF677" s="157"/>
      <c r="AG677" s="297"/>
    </row>
    <row r="678" spans="2:33" ht="132" x14ac:dyDescent="0.3">
      <c r="B678" s="316"/>
      <c r="C678" s="316"/>
      <c r="E678" s="143"/>
      <c r="F678" s="143"/>
      <c r="G678" s="228"/>
      <c r="H678" s="143"/>
      <c r="I678" s="136"/>
      <c r="J678" s="316"/>
      <c r="K678" s="158"/>
      <c r="L678" s="159"/>
      <c r="M678" s="226" t="s">
        <v>352</v>
      </c>
      <c r="N678" s="315" t="s">
        <v>948</v>
      </c>
      <c r="O678" s="255" t="s">
        <v>935</v>
      </c>
      <c r="P678" s="255" t="s">
        <v>935</v>
      </c>
      <c r="Q678" s="338"/>
      <c r="R678" s="255" t="s">
        <v>935</v>
      </c>
      <c r="S678" s="338"/>
      <c r="T678" s="255" t="s">
        <v>935</v>
      </c>
      <c r="U678" s="177"/>
      <c r="V678" s="255" t="s">
        <v>935</v>
      </c>
      <c r="W678" s="177"/>
      <c r="X678" s="255" t="s">
        <v>935</v>
      </c>
      <c r="Y678" s="177"/>
      <c r="Z678" s="255" t="s">
        <v>935</v>
      </c>
      <c r="AA678" s="178"/>
      <c r="AB678" s="316"/>
      <c r="AC678" s="155"/>
      <c r="AD678" s="155"/>
      <c r="AE678" s="156"/>
      <c r="AF678" s="157"/>
      <c r="AG678" s="297"/>
    </row>
    <row r="679" spans="2:33" ht="49.5" x14ac:dyDescent="0.3">
      <c r="B679" s="316"/>
      <c r="C679" s="316"/>
      <c r="E679" s="143"/>
      <c r="F679" s="143"/>
      <c r="G679" s="228"/>
      <c r="H679" s="143"/>
      <c r="I679" s="136"/>
      <c r="J679" s="316"/>
      <c r="K679" s="158"/>
      <c r="L679" s="159"/>
      <c r="M679" s="226" t="s">
        <v>402</v>
      </c>
      <c r="N679" s="315" t="s">
        <v>949</v>
      </c>
      <c r="O679" s="252" t="s">
        <v>950</v>
      </c>
      <c r="P679" s="252" t="s">
        <v>950</v>
      </c>
      <c r="Q679" s="338"/>
      <c r="R679" s="252" t="s">
        <v>950</v>
      </c>
      <c r="S679" s="338"/>
      <c r="T679" s="252" t="s">
        <v>950</v>
      </c>
      <c r="U679" s="177"/>
      <c r="V679" s="252" t="s">
        <v>950</v>
      </c>
      <c r="W679" s="177"/>
      <c r="X679" s="252" t="s">
        <v>950</v>
      </c>
      <c r="Y679" s="177"/>
      <c r="Z679" s="252" t="s">
        <v>950</v>
      </c>
      <c r="AA679" s="178"/>
      <c r="AB679" s="316"/>
      <c r="AC679" s="155"/>
      <c r="AD679" s="155"/>
      <c r="AE679" s="156"/>
      <c r="AF679" s="157"/>
      <c r="AG679" s="297"/>
    </row>
    <row r="680" spans="2:33" ht="231" x14ac:dyDescent="0.3">
      <c r="B680" s="316"/>
      <c r="C680" s="316"/>
      <c r="E680" s="143"/>
      <c r="F680" s="143"/>
      <c r="G680" s="228"/>
      <c r="H680" s="143"/>
      <c r="I680" s="136"/>
      <c r="J680" s="316"/>
      <c r="K680" s="158"/>
      <c r="L680" s="159"/>
      <c r="M680" s="226" t="s">
        <v>453</v>
      </c>
      <c r="N680" s="315" t="s">
        <v>951</v>
      </c>
      <c r="O680" s="316" t="s">
        <v>939</v>
      </c>
      <c r="P680" s="316" t="s">
        <v>939</v>
      </c>
      <c r="Q680" s="338"/>
      <c r="R680" s="316" t="s">
        <v>939</v>
      </c>
      <c r="S680" s="338"/>
      <c r="T680" s="316" t="s">
        <v>939</v>
      </c>
      <c r="U680" s="177"/>
      <c r="V680" s="316" t="s">
        <v>939</v>
      </c>
      <c r="W680" s="177"/>
      <c r="X680" s="316" t="s">
        <v>939</v>
      </c>
      <c r="Y680" s="177"/>
      <c r="Z680" s="316" t="s">
        <v>939</v>
      </c>
      <c r="AA680" s="178"/>
      <c r="AB680" s="316"/>
      <c r="AC680" s="155"/>
      <c r="AD680" s="155"/>
      <c r="AE680" s="156"/>
      <c r="AF680" s="157"/>
      <c r="AG680" s="297"/>
    </row>
    <row r="681" spans="2:33" ht="49.5" x14ac:dyDescent="0.3">
      <c r="B681" s="316"/>
      <c r="C681" s="316"/>
      <c r="E681" s="143"/>
      <c r="F681" s="143"/>
      <c r="G681" s="228"/>
      <c r="H681" s="143"/>
      <c r="I681" s="228"/>
      <c r="J681" s="316"/>
      <c r="K681" s="158"/>
      <c r="L681" s="159"/>
      <c r="M681" s="226" t="s">
        <v>454</v>
      </c>
      <c r="N681" s="315" t="s">
        <v>952</v>
      </c>
      <c r="O681" s="316"/>
      <c r="P681" s="316"/>
      <c r="Q681" s="338"/>
      <c r="R681" s="316"/>
      <c r="S681" s="338"/>
      <c r="T681" s="316"/>
      <c r="U681" s="177"/>
      <c r="V681" s="316"/>
      <c r="W681" s="177"/>
      <c r="X681" s="316"/>
      <c r="Y681" s="177"/>
      <c r="Z681" s="316"/>
      <c r="AA681" s="178"/>
      <c r="AB681" s="316"/>
      <c r="AC681" s="155"/>
      <c r="AD681" s="155"/>
      <c r="AE681" s="156"/>
      <c r="AF681" s="157"/>
      <c r="AG681" s="297"/>
    </row>
    <row r="682" spans="2:33" ht="49.5" x14ac:dyDescent="0.3">
      <c r="B682" s="316"/>
      <c r="C682" s="316"/>
      <c r="E682" s="143"/>
      <c r="F682" s="143"/>
      <c r="G682" s="228"/>
      <c r="H682" s="143"/>
      <c r="I682" s="136"/>
      <c r="J682" s="316"/>
      <c r="K682" s="158"/>
      <c r="L682" s="159"/>
      <c r="M682" s="226" t="s">
        <v>521</v>
      </c>
      <c r="N682" s="315" t="s">
        <v>953</v>
      </c>
      <c r="O682" s="316"/>
      <c r="P682" s="316"/>
      <c r="Q682" s="338"/>
      <c r="R682" s="316"/>
      <c r="S682" s="338"/>
      <c r="T682" s="316"/>
      <c r="U682" s="177"/>
      <c r="V682" s="316"/>
      <c r="W682" s="177"/>
      <c r="X682" s="316"/>
      <c r="Y682" s="177"/>
      <c r="Z682" s="316"/>
      <c r="AA682" s="178"/>
      <c r="AB682" s="316"/>
      <c r="AC682" s="155"/>
      <c r="AD682" s="155"/>
      <c r="AE682" s="156"/>
      <c r="AF682" s="157"/>
      <c r="AG682" s="297"/>
    </row>
    <row r="683" spans="2:33" ht="33" x14ac:dyDescent="0.3">
      <c r="B683" s="316"/>
      <c r="C683" s="316"/>
      <c r="E683" s="143"/>
      <c r="F683" s="143"/>
      <c r="G683" s="143"/>
      <c r="H683" s="143"/>
      <c r="I683" s="143"/>
      <c r="J683" s="316"/>
      <c r="K683" s="137" t="s">
        <v>295</v>
      </c>
      <c r="L683" s="314" t="s">
        <v>291</v>
      </c>
      <c r="M683" s="507" t="s">
        <v>954</v>
      </c>
      <c r="N683" s="508"/>
      <c r="O683" s="137"/>
      <c r="P683" s="137"/>
      <c r="Q683" s="333"/>
      <c r="R683" s="137"/>
      <c r="S683" s="333"/>
      <c r="T683" s="137"/>
      <c r="U683" s="346"/>
      <c r="V683" s="137"/>
      <c r="W683" s="346"/>
      <c r="X683" s="137"/>
      <c r="Y683" s="346"/>
      <c r="Z683" s="137"/>
      <c r="AA683" s="351"/>
      <c r="AB683" s="127"/>
      <c r="AC683" s="257"/>
      <c r="AD683" s="155"/>
      <c r="AE683" s="156"/>
      <c r="AF683" s="157"/>
      <c r="AG683" s="297"/>
    </row>
    <row r="684" spans="2:33" ht="33" x14ac:dyDescent="0.3">
      <c r="B684" s="179"/>
      <c r="C684" s="179"/>
      <c r="D684" s="298"/>
      <c r="E684" s="180"/>
      <c r="F684" s="180"/>
      <c r="G684" s="180"/>
      <c r="H684" s="180"/>
      <c r="I684" s="180"/>
      <c r="J684" s="233"/>
      <c r="K684" s="183" t="s">
        <v>297</v>
      </c>
      <c r="L684" s="182" t="s">
        <v>291</v>
      </c>
      <c r="M684" s="198" t="s">
        <v>955</v>
      </c>
      <c r="N684" s="198"/>
      <c r="O684" s="183"/>
      <c r="P684" s="183"/>
      <c r="Q684" s="339"/>
      <c r="R684" s="183"/>
      <c r="S684" s="339"/>
      <c r="T684" s="183"/>
      <c r="U684" s="347"/>
      <c r="V684" s="183"/>
      <c r="W684" s="347"/>
      <c r="X684" s="183"/>
      <c r="Y684" s="347"/>
      <c r="Z684" s="183"/>
      <c r="AA684" s="350"/>
      <c r="AB684" s="179"/>
      <c r="AC684" s="187"/>
      <c r="AD684" s="187"/>
      <c r="AE684" s="188"/>
      <c r="AF684" s="189"/>
      <c r="AG684" s="299"/>
    </row>
    <row r="685" spans="2:33" x14ac:dyDescent="0.3">
      <c r="B685" s="316"/>
      <c r="C685" s="316"/>
      <c r="E685" s="143"/>
      <c r="F685" s="143"/>
      <c r="G685" s="228"/>
      <c r="H685" s="143"/>
      <c r="I685" s="136"/>
      <c r="J685" s="316"/>
      <c r="K685" s="158"/>
      <c r="L685" s="159"/>
      <c r="M685" s="159"/>
      <c r="N685" s="315"/>
      <c r="O685" s="316"/>
      <c r="P685" s="316"/>
      <c r="Q685" s="338"/>
      <c r="R685" s="316"/>
      <c r="S685" s="338"/>
      <c r="T685" s="316"/>
      <c r="U685" s="177"/>
      <c r="V685" s="316"/>
      <c r="W685" s="177"/>
      <c r="X685" s="316"/>
      <c r="Y685" s="177"/>
      <c r="Z685" s="316"/>
      <c r="AA685" s="178"/>
      <c r="AB685" s="316"/>
      <c r="AC685" s="155"/>
      <c r="AD685" s="155"/>
      <c r="AE685" s="156"/>
      <c r="AF685" s="157"/>
      <c r="AG685" s="297"/>
    </row>
    <row r="686" spans="2:33" ht="33" x14ac:dyDescent="0.3">
      <c r="B686" s="316"/>
      <c r="C686" s="316"/>
      <c r="E686" s="143">
        <v>1</v>
      </c>
      <c r="F686" s="143">
        <v>18</v>
      </c>
      <c r="G686" s="228" t="s">
        <v>131</v>
      </c>
      <c r="H686" s="143">
        <v>11</v>
      </c>
      <c r="I686" s="136">
        <v>2</v>
      </c>
      <c r="J686" s="316" t="s">
        <v>401</v>
      </c>
      <c r="K686" s="158" t="s">
        <v>290</v>
      </c>
      <c r="L686" s="159" t="s">
        <v>291</v>
      </c>
      <c r="M686" s="514" t="s">
        <v>312</v>
      </c>
      <c r="N686" s="515"/>
      <c r="O686" s="316" t="s">
        <v>301</v>
      </c>
      <c r="P686" s="316" t="s">
        <v>301</v>
      </c>
      <c r="Q686" s="338">
        <v>277510000</v>
      </c>
      <c r="R686" s="316" t="s">
        <v>301</v>
      </c>
      <c r="S686" s="338">
        <f>Q686+(Q686*10%)</f>
        <v>305261000</v>
      </c>
      <c r="T686" s="316" t="s">
        <v>301</v>
      </c>
      <c r="U686" s="338">
        <f>S686+(S686*10%)-100</f>
        <v>335787000</v>
      </c>
      <c r="V686" s="316" t="s">
        <v>301</v>
      </c>
      <c r="W686" s="338">
        <f>U686+(U686*10%)-700</f>
        <v>369365000</v>
      </c>
      <c r="X686" s="316" t="s">
        <v>301</v>
      </c>
      <c r="Y686" s="338">
        <f>W686+(W686*10%)-500</f>
        <v>406301000</v>
      </c>
      <c r="Z686" s="316" t="s">
        <v>301</v>
      </c>
      <c r="AA686" s="178">
        <f>Y686+W686+U686+S686+Q686</f>
        <v>1694224000</v>
      </c>
      <c r="AB686" s="316" t="s">
        <v>66</v>
      </c>
      <c r="AC686" s="155"/>
      <c r="AD686" s="155"/>
      <c r="AE686" s="156"/>
      <c r="AF686" s="157"/>
      <c r="AG686" s="253" t="s">
        <v>1055</v>
      </c>
    </row>
    <row r="687" spans="2:33" ht="264" x14ac:dyDescent="0.3">
      <c r="B687" s="316"/>
      <c r="C687" s="316"/>
      <c r="E687" s="143"/>
      <c r="F687" s="143"/>
      <c r="G687" s="228"/>
      <c r="H687" s="143"/>
      <c r="I687" s="136"/>
      <c r="J687" s="137"/>
      <c r="K687" s="158" t="s">
        <v>293</v>
      </c>
      <c r="L687" s="159" t="s">
        <v>291</v>
      </c>
      <c r="M687" s="160" t="s">
        <v>299</v>
      </c>
      <c r="N687" s="205" t="s">
        <v>956</v>
      </c>
      <c r="O687" s="255" t="s">
        <v>957</v>
      </c>
      <c r="P687" s="255" t="s">
        <v>957</v>
      </c>
      <c r="Q687" s="338"/>
      <c r="R687" s="255" t="s">
        <v>957</v>
      </c>
      <c r="S687" s="338"/>
      <c r="T687" s="255" t="s">
        <v>957</v>
      </c>
      <c r="U687" s="177"/>
      <c r="V687" s="255" t="s">
        <v>957</v>
      </c>
      <c r="W687" s="177"/>
      <c r="X687" s="255" t="s">
        <v>957</v>
      </c>
      <c r="Y687" s="177"/>
      <c r="Z687" s="255" t="s">
        <v>957</v>
      </c>
      <c r="AA687" s="178"/>
      <c r="AB687" s="316"/>
      <c r="AC687" s="155"/>
      <c r="AD687" s="155"/>
      <c r="AE687" s="156"/>
      <c r="AF687" s="157"/>
      <c r="AG687" s="297"/>
    </row>
    <row r="688" spans="2:33" ht="49.5" x14ac:dyDescent="0.3">
      <c r="B688" s="316"/>
      <c r="C688" s="316"/>
      <c r="E688" s="143"/>
      <c r="F688" s="143"/>
      <c r="G688" s="228"/>
      <c r="H688" s="143"/>
      <c r="I688" s="136"/>
      <c r="J688" s="137"/>
      <c r="K688" s="158" t="s">
        <v>294</v>
      </c>
      <c r="L688" s="159" t="s">
        <v>291</v>
      </c>
      <c r="M688" s="226" t="s">
        <v>299</v>
      </c>
      <c r="N688" s="315" t="s">
        <v>958</v>
      </c>
      <c r="O688" s="252">
        <v>1</v>
      </c>
      <c r="P688" s="252">
        <v>1</v>
      </c>
      <c r="Q688" s="338"/>
      <c r="R688" s="252">
        <v>1</v>
      </c>
      <c r="S688" s="338"/>
      <c r="T688" s="252">
        <v>1</v>
      </c>
      <c r="U688" s="177"/>
      <c r="V688" s="252">
        <v>1</v>
      </c>
      <c r="W688" s="177"/>
      <c r="X688" s="252">
        <v>1</v>
      </c>
      <c r="Y688" s="177"/>
      <c r="Z688" s="252">
        <v>1</v>
      </c>
      <c r="AA688" s="178"/>
      <c r="AB688" s="316"/>
      <c r="AC688" s="155"/>
      <c r="AD688" s="155"/>
      <c r="AE688" s="156"/>
      <c r="AF688" s="157"/>
      <c r="AG688" s="297"/>
    </row>
    <row r="689" spans="1:33" ht="33" x14ac:dyDescent="0.3">
      <c r="B689" s="316"/>
      <c r="C689" s="316"/>
      <c r="E689" s="143"/>
      <c r="F689" s="143"/>
      <c r="G689" s="228"/>
      <c r="H689" s="143"/>
      <c r="I689" s="136"/>
      <c r="J689" s="137"/>
      <c r="K689" s="137" t="s">
        <v>295</v>
      </c>
      <c r="L689" s="314" t="s">
        <v>291</v>
      </c>
      <c r="M689" s="507" t="s">
        <v>959</v>
      </c>
      <c r="N689" s="508"/>
      <c r="O689" s="316"/>
      <c r="P689" s="316"/>
      <c r="Q689" s="338"/>
      <c r="R689" s="316"/>
      <c r="S689" s="338"/>
      <c r="T689" s="316"/>
      <c r="U689" s="177"/>
      <c r="V689" s="316"/>
      <c r="W689" s="177"/>
      <c r="X689" s="316"/>
      <c r="Y689" s="177"/>
      <c r="Z689" s="316"/>
      <c r="AA689" s="178"/>
      <c r="AB689" s="316"/>
      <c r="AC689" s="155"/>
      <c r="AD689" s="155"/>
      <c r="AE689" s="156"/>
      <c r="AF689" s="157"/>
      <c r="AG689" s="297"/>
    </row>
    <row r="690" spans="1:33" ht="33" x14ac:dyDescent="0.3">
      <c r="B690" s="316"/>
      <c r="C690" s="316"/>
      <c r="E690" s="143"/>
      <c r="F690" s="143"/>
      <c r="G690" s="228"/>
      <c r="H690" s="143"/>
      <c r="I690" s="136"/>
      <c r="J690" s="137"/>
      <c r="K690" s="137" t="s">
        <v>297</v>
      </c>
      <c r="L690" s="314" t="s">
        <v>291</v>
      </c>
      <c r="M690" s="507" t="s">
        <v>960</v>
      </c>
      <c r="N690" s="508"/>
      <c r="O690" s="316"/>
      <c r="P690" s="316"/>
      <c r="Q690" s="338"/>
      <c r="R690" s="316"/>
      <c r="S690" s="338"/>
      <c r="T690" s="316"/>
      <c r="U690" s="177"/>
      <c r="V690" s="316"/>
      <c r="W690" s="177"/>
      <c r="X690" s="316"/>
      <c r="Y690" s="177"/>
      <c r="Z690" s="316"/>
      <c r="AA690" s="178"/>
      <c r="AB690" s="316"/>
      <c r="AC690" s="155"/>
      <c r="AD690" s="155"/>
      <c r="AE690" s="156"/>
      <c r="AF690" s="157"/>
      <c r="AG690" s="297"/>
    </row>
    <row r="691" spans="1:33" s="73" customFormat="1" x14ac:dyDescent="0.3">
      <c r="A691" s="111"/>
      <c r="B691" s="179"/>
      <c r="C691" s="179"/>
      <c r="D691" s="111"/>
      <c r="E691" s="180"/>
      <c r="F691" s="180"/>
      <c r="G691" s="180"/>
      <c r="H691" s="180"/>
      <c r="I691" s="180"/>
      <c r="J691" s="183"/>
      <c r="K691" s="258"/>
      <c r="L691" s="259"/>
      <c r="M691" s="259"/>
      <c r="N691" s="185"/>
      <c r="O691" s="179"/>
      <c r="P691" s="179"/>
      <c r="Q691" s="339"/>
      <c r="R691" s="179"/>
      <c r="S691" s="347"/>
      <c r="T691" s="179"/>
      <c r="U691" s="347"/>
      <c r="V691" s="179"/>
      <c r="W691" s="347"/>
      <c r="X691" s="179"/>
      <c r="Y691" s="347"/>
      <c r="Z691" s="179"/>
      <c r="AA691" s="350"/>
      <c r="AB691" s="179"/>
      <c r="AC691" s="187"/>
      <c r="AD691" s="187"/>
      <c r="AE691" s="188"/>
      <c r="AF691" s="189"/>
      <c r="AG691" s="302"/>
    </row>
    <row r="692" spans="1:33" s="58" customFormat="1" ht="18" x14ac:dyDescent="0.35">
      <c r="A692" s="279"/>
      <c r="B692" s="260"/>
      <c r="C692" s="260"/>
      <c r="D692" s="311"/>
      <c r="E692" s="261" t="s">
        <v>259</v>
      </c>
      <c r="F692" s="260"/>
      <c r="G692" s="260"/>
      <c r="H692" s="260"/>
      <c r="I692" s="260"/>
      <c r="J692" s="260"/>
      <c r="K692" s="262"/>
      <c r="L692" s="263"/>
      <c r="M692" s="263"/>
      <c r="N692" s="264"/>
      <c r="O692" s="260"/>
      <c r="P692" s="260"/>
      <c r="Q692" s="343">
        <f>Q657+Q630+Q567+Q421+Q280+Q208+Q188+Q136+Q124+Q87+Q63+Q14</f>
        <v>92916030000</v>
      </c>
      <c r="R692" s="260"/>
      <c r="S692" s="343">
        <f>S657+S630+S567+S421+S280+S208+S188+S136+S124+S87+S63+S14</f>
        <v>100275260400</v>
      </c>
      <c r="T692" s="260"/>
      <c r="U692" s="343">
        <f>U657+U630+U567+U421+U280+U208+U188+U136+U124+U87+U63+U14</f>
        <v>111354191725</v>
      </c>
      <c r="V692" s="260"/>
      <c r="W692" s="343">
        <f>W657+W630+W567+W421+W280+W208+W188+W136+W124+W87+W63+W14</f>
        <v>120143373021.5</v>
      </c>
      <c r="X692" s="260"/>
      <c r="Y692" s="343">
        <f>Y657+Y630+Y567+Y421+Y280+Y208+Y188+Y136+Y124+Y87+Y63+Y14</f>
        <v>134383267168.64999</v>
      </c>
      <c r="Z692" s="260"/>
      <c r="AA692" s="343">
        <f>AA657+AA630+AA567+AA421+AA280+AA208+AA188+AA136+AA124+AA87+AA63+AA14</f>
        <v>559072122315.15002</v>
      </c>
      <c r="AB692" s="265"/>
      <c r="AC692" s="266" t="e">
        <f>#REF!+#REF!+#REF!+#REF!+#REF!+#REF!+#REF!+#REF!+#REF!+#REF!+#REF!+#REF!+#REF!+AC208+AC185+AC164+AC124+AC87+AC63+AC14</f>
        <v>#REF!</v>
      </c>
      <c r="AD692" s="266" t="e">
        <f>#REF!+#REF!+#REF!+#REF!+#REF!+#REF!+#REF!+#REF!+#REF!+#REF!+#REF!+#REF!+#REF!+AD208+AD185+AD164+AD124+AD87+AD63+AD14</f>
        <v>#REF!</v>
      </c>
      <c r="AE692" s="267"/>
      <c r="AF692" s="268"/>
      <c r="AG692" s="283"/>
    </row>
    <row r="693" spans="1:33" s="73" customFormat="1" x14ac:dyDescent="0.3">
      <c r="A693" s="111"/>
      <c r="B693" s="111"/>
      <c r="C693" s="111"/>
      <c r="D693" s="111"/>
      <c r="E693" s="113"/>
      <c r="F693" s="113"/>
      <c r="G693" s="113"/>
      <c r="H693" s="113"/>
      <c r="I693" s="113"/>
      <c r="J693" s="111"/>
      <c r="K693" s="114"/>
      <c r="L693" s="114"/>
      <c r="M693" s="114"/>
      <c r="N693" s="115"/>
      <c r="O693" s="111"/>
      <c r="P693" s="113"/>
      <c r="Q693" s="330"/>
      <c r="R693" s="113"/>
      <c r="S693" s="344"/>
      <c r="T693" s="113"/>
      <c r="U693" s="344"/>
      <c r="V693" s="113"/>
      <c r="W693" s="344"/>
      <c r="X693" s="113"/>
      <c r="Y693" s="344"/>
      <c r="Z693" s="113"/>
      <c r="AA693" s="344"/>
      <c r="AB693" s="113"/>
      <c r="AC693" s="116"/>
      <c r="AD693" s="117"/>
      <c r="AE693" s="118"/>
      <c r="AF693" s="119"/>
      <c r="AG693" s="111"/>
    </row>
    <row r="694" spans="1:33" s="97" customFormat="1" x14ac:dyDescent="0.3">
      <c r="A694" s="312"/>
      <c r="B694" s="111"/>
      <c r="C694" s="111"/>
      <c r="D694" s="312"/>
      <c r="E694" s="113"/>
      <c r="F694" s="113"/>
      <c r="G694" s="113"/>
      <c r="H694" s="113"/>
      <c r="I694" s="113"/>
      <c r="J694" s="111"/>
      <c r="K694" s="114"/>
      <c r="L694" s="114"/>
      <c r="M694" s="114"/>
      <c r="N694" s="115"/>
      <c r="O694" s="111"/>
      <c r="P694" s="113"/>
      <c r="Q694" s="330"/>
      <c r="R694" s="113"/>
      <c r="S694" s="344"/>
      <c r="T694" s="113"/>
      <c r="U694" s="344"/>
      <c r="V694" s="113"/>
      <c r="W694" s="344"/>
      <c r="X694" s="113"/>
      <c r="Y694" s="344"/>
      <c r="Z694" s="113"/>
      <c r="AA694" s="344"/>
      <c r="AB694" s="113"/>
      <c r="AC694" s="116"/>
      <c r="AD694" s="117"/>
      <c r="AE694" s="118"/>
      <c r="AF694" s="119"/>
      <c r="AG694" s="312"/>
    </row>
    <row r="695" spans="1:33" s="97" customFormat="1" x14ac:dyDescent="0.3">
      <c r="A695" s="312"/>
      <c r="B695" s="111"/>
      <c r="C695" s="111"/>
      <c r="D695" s="312"/>
      <c r="E695" s="113"/>
      <c r="F695" s="113"/>
      <c r="G695" s="113"/>
      <c r="H695" s="113"/>
      <c r="I695" s="113"/>
      <c r="J695" s="111"/>
      <c r="K695" s="114"/>
      <c r="L695" s="114"/>
      <c r="M695" s="114"/>
      <c r="N695" s="115"/>
      <c r="O695" s="111"/>
      <c r="P695" s="113"/>
      <c r="Q695" s="330"/>
      <c r="R695" s="113"/>
      <c r="S695" s="344"/>
      <c r="T695" s="113"/>
      <c r="U695" s="344"/>
      <c r="V695" s="113"/>
      <c r="W695" s="344"/>
      <c r="X695" s="113"/>
      <c r="Y695" s="344"/>
      <c r="Z695" s="113"/>
      <c r="AA695" s="344"/>
      <c r="AB695" s="113"/>
      <c r="AC695" s="116"/>
      <c r="AD695" s="117"/>
      <c r="AE695" s="118"/>
      <c r="AF695" s="119"/>
      <c r="AG695" s="312"/>
    </row>
    <row r="696" spans="1:33" s="97" customFormat="1" x14ac:dyDescent="0.3">
      <c r="A696" s="312"/>
      <c r="B696" s="111"/>
      <c r="C696" s="111"/>
      <c r="D696" s="312"/>
      <c r="E696" s="113"/>
      <c r="F696" s="113"/>
      <c r="G696" s="113"/>
      <c r="H696" s="113"/>
      <c r="I696" s="113"/>
      <c r="J696" s="111"/>
      <c r="K696" s="114"/>
      <c r="L696" s="114"/>
      <c r="M696" s="114"/>
      <c r="N696" s="115"/>
      <c r="O696" s="111"/>
      <c r="P696" s="113"/>
      <c r="Q696" s="330"/>
      <c r="R696" s="113"/>
      <c r="S696" s="344"/>
      <c r="T696" s="113"/>
      <c r="U696" s="344"/>
      <c r="V696" s="113"/>
      <c r="W696" s="344"/>
      <c r="X696" s="113"/>
      <c r="Y696" s="344"/>
      <c r="Z696" s="113"/>
      <c r="AA696" s="344"/>
      <c r="AB696" s="113"/>
      <c r="AC696" s="116"/>
      <c r="AD696" s="117"/>
      <c r="AE696" s="118"/>
      <c r="AF696" s="119"/>
      <c r="AG696" s="312"/>
    </row>
    <row r="697" spans="1:33" s="97" customFormat="1" x14ac:dyDescent="0.3">
      <c r="A697" s="312"/>
      <c r="B697" s="111"/>
      <c r="C697" s="111"/>
      <c r="D697" s="312"/>
      <c r="E697" s="113"/>
      <c r="F697" s="113"/>
      <c r="G697" s="113"/>
      <c r="H697" s="113"/>
      <c r="I697" s="113"/>
      <c r="J697" s="111"/>
      <c r="K697" s="114"/>
      <c r="L697" s="114"/>
      <c r="M697" s="114"/>
      <c r="N697" s="115"/>
      <c r="O697" s="111"/>
      <c r="P697" s="113"/>
      <c r="Q697" s="330"/>
      <c r="R697" s="113"/>
      <c r="S697" s="344"/>
      <c r="T697" s="113"/>
      <c r="U697" s="344"/>
      <c r="V697" s="113"/>
      <c r="W697" s="344"/>
      <c r="X697" s="113"/>
      <c r="Y697" s="344"/>
      <c r="Z697" s="113"/>
      <c r="AA697" s="344"/>
      <c r="AB697" s="113"/>
      <c r="AC697" s="116"/>
      <c r="AD697" s="117"/>
      <c r="AE697" s="118"/>
      <c r="AF697" s="119"/>
      <c r="AG697" s="312"/>
    </row>
    <row r="698" spans="1:33" s="97" customFormat="1" x14ac:dyDescent="0.3">
      <c r="A698" s="312"/>
      <c r="B698" s="111"/>
      <c r="C698" s="111"/>
      <c r="D698" s="312"/>
      <c r="E698" s="113"/>
      <c r="F698" s="113"/>
      <c r="G698" s="113"/>
      <c r="H698" s="113"/>
      <c r="I698" s="113"/>
      <c r="J698" s="111"/>
      <c r="K698" s="114"/>
      <c r="L698" s="114"/>
      <c r="M698" s="114"/>
      <c r="N698" s="115"/>
      <c r="O698" s="111"/>
      <c r="P698" s="113"/>
      <c r="Q698" s="330"/>
      <c r="R698" s="113"/>
      <c r="S698" s="344"/>
      <c r="T698" s="113"/>
      <c r="U698" s="344"/>
      <c r="V698" s="113"/>
      <c r="W698" s="344"/>
      <c r="X698" s="113"/>
      <c r="Y698" s="344"/>
      <c r="Z698" s="113"/>
      <c r="AA698" s="344"/>
      <c r="AB698" s="113"/>
      <c r="AC698" s="116"/>
      <c r="AD698" s="117"/>
      <c r="AE698" s="118"/>
      <c r="AF698" s="119"/>
      <c r="AG698" s="312"/>
    </row>
    <row r="699" spans="1:33" s="73" customFormat="1" x14ac:dyDescent="0.3">
      <c r="A699" s="111"/>
      <c r="B699" s="111"/>
      <c r="C699" s="111"/>
      <c r="D699" s="111"/>
      <c r="E699" s="113"/>
      <c r="F699" s="113"/>
      <c r="G699" s="113"/>
      <c r="H699" s="113"/>
      <c r="I699" s="113"/>
      <c r="J699" s="111"/>
      <c r="K699" s="114"/>
      <c r="L699" s="114"/>
      <c r="M699" s="114"/>
      <c r="N699" s="115"/>
      <c r="O699" s="111"/>
      <c r="P699" s="113"/>
      <c r="Q699" s="330"/>
      <c r="R699" s="113"/>
      <c r="S699" s="344"/>
      <c r="T699" s="113"/>
      <c r="U699" s="344"/>
      <c r="V699" s="113"/>
      <c r="W699" s="344"/>
      <c r="X699" s="113"/>
      <c r="Y699" s="344"/>
      <c r="Z699" s="113"/>
      <c r="AA699" s="344"/>
      <c r="AB699" s="113"/>
      <c r="AC699" s="116"/>
      <c r="AD699" s="117"/>
      <c r="AE699" s="118"/>
      <c r="AF699" s="119"/>
      <c r="AG699" s="111"/>
    </row>
    <row r="700" spans="1:33" s="73" customFormat="1" x14ac:dyDescent="0.3">
      <c r="A700" s="111"/>
      <c r="B700" s="111"/>
      <c r="C700" s="111"/>
      <c r="D700" s="111"/>
      <c r="E700" s="113"/>
      <c r="F700" s="113"/>
      <c r="G700" s="113"/>
      <c r="H700" s="113"/>
      <c r="I700" s="113"/>
      <c r="J700" s="111"/>
      <c r="K700" s="114"/>
      <c r="L700" s="114"/>
      <c r="M700" s="114"/>
      <c r="N700" s="115"/>
      <c r="O700" s="111"/>
      <c r="P700" s="113"/>
      <c r="Q700" s="330"/>
      <c r="R700" s="113"/>
      <c r="S700" s="344"/>
      <c r="T700" s="113"/>
      <c r="U700" s="344"/>
      <c r="V700" s="113"/>
      <c r="W700" s="344"/>
      <c r="X700" s="113"/>
      <c r="Y700" s="344"/>
      <c r="Z700" s="113"/>
      <c r="AA700" s="344"/>
      <c r="AB700" s="113"/>
      <c r="AC700" s="116"/>
      <c r="AD700" s="117"/>
      <c r="AE700" s="118"/>
      <c r="AF700" s="119"/>
      <c r="AG700" s="111"/>
    </row>
    <row r="701" spans="1:33" s="97" customFormat="1" x14ac:dyDescent="0.3">
      <c r="A701" s="312"/>
      <c r="B701" s="111"/>
      <c r="C701" s="111"/>
      <c r="D701" s="312"/>
      <c r="E701" s="113"/>
      <c r="F701" s="113"/>
      <c r="G701" s="113"/>
      <c r="H701" s="113"/>
      <c r="I701" s="113"/>
      <c r="J701" s="111"/>
      <c r="K701" s="114"/>
      <c r="L701" s="114"/>
      <c r="M701" s="114"/>
      <c r="N701" s="115"/>
      <c r="O701" s="111"/>
      <c r="P701" s="113"/>
      <c r="Q701" s="330"/>
      <c r="R701" s="113"/>
      <c r="S701" s="344"/>
      <c r="T701" s="113"/>
      <c r="U701" s="344"/>
      <c r="V701" s="113"/>
      <c r="W701" s="344"/>
      <c r="X701" s="113"/>
      <c r="Y701" s="344"/>
      <c r="Z701" s="113"/>
      <c r="AA701" s="344"/>
      <c r="AB701" s="113"/>
      <c r="AC701" s="116"/>
      <c r="AD701" s="117"/>
      <c r="AE701" s="118"/>
      <c r="AF701" s="119"/>
      <c r="AG701" s="312"/>
    </row>
    <row r="702" spans="1:33" s="97" customFormat="1" x14ac:dyDescent="0.3">
      <c r="A702" s="312"/>
      <c r="B702" s="111"/>
      <c r="C702" s="111"/>
      <c r="D702" s="312"/>
      <c r="E702" s="113"/>
      <c r="F702" s="113"/>
      <c r="G702" s="113"/>
      <c r="H702" s="113"/>
      <c r="I702" s="113"/>
      <c r="J702" s="111"/>
      <c r="K702" s="114"/>
      <c r="L702" s="114"/>
      <c r="M702" s="114"/>
      <c r="N702" s="115"/>
      <c r="O702" s="111"/>
      <c r="P702" s="113"/>
      <c r="Q702" s="330"/>
      <c r="R702" s="113"/>
      <c r="S702" s="344"/>
      <c r="T702" s="113"/>
      <c r="U702" s="344"/>
      <c r="V702" s="113"/>
      <c r="W702" s="344"/>
      <c r="X702" s="113"/>
      <c r="Y702" s="344"/>
      <c r="Z702" s="113"/>
      <c r="AA702" s="344"/>
      <c r="AB702" s="113"/>
      <c r="AC702" s="116"/>
      <c r="AD702" s="117"/>
      <c r="AE702" s="118"/>
      <c r="AF702" s="119"/>
      <c r="AG702" s="312"/>
    </row>
    <row r="703" spans="1:33" s="73" customFormat="1" x14ac:dyDescent="0.3">
      <c r="A703" s="111"/>
      <c r="B703" s="111"/>
      <c r="C703" s="111"/>
      <c r="D703" s="111"/>
      <c r="E703" s="113"/>
      <c r="F703" s="113"/>
      <c r="G703" s="113"/>
      <c r="H703" s="113"/>
      <c r="I703" s="113"/>
      <c r="J703" s="111"/>
      <c r="K703" s="114"/>
      <c r="L703" s="114"/>
      <c r="M703" s="114"/>
      <c r="N703" s="115"/>
      <c r="O703" s="111"/>
      <c r="P703" s="113"/>
      <c r="Q703" s="330"/>
      <c r="R703" s="113"/>
      <c r="S703" s="344"/>
      <c r="T703" s="113"/>
      <c r="U703" s="344"/>
      <c r="V703" s="113"/>
      <c r="W703" s="344"/>
      <c r="X703" s="113"/>
      <c r="Y703" s="344"/>
      <c r="Z703" s="113"/>
      <c r="AA703" s="344"/>
      <c r="AB703" s="113"/>
      <c r="AC703" s="116"/>
      <c r="AD703" s="117"/>
      <c r="AE703" s="118"/>
      <c r="AF703" s="119"/>
      <c r="AG703" s="111"/>
    </row>
    <row r="704" spans="1:33" s="73" customFormat="1" x14ac:dyDescent="0.3">
      <c r="A704" s="111"/>
      <c r="B704" s="111"/>
      <c r="C704" s="111"/>
      <c r="D704" s="111"/>
      <c r="E704" s="113"/>
      <c r="F704" s="113"/>
      <c r="G704" s="113"/>
      <c r="H704" s="113"/>
      <c r="I704" s="113"/>
      <c r="J704" s="111"/>
      <c r="K704" s="114"/>
      <c r="L704" s="114"/>
      <c r="M704" s="114"/>
      <c r="N704" s="115"/>
      <c r="O704" s="111"/>
      <c r="P704" s="113"/>
      <c r="Q704" s="330"/>
      <c r="R704" s="113"/>
      <c r="S704" s="344"/>
      <c r="T704" s="113"/>
      <c r="U704" s="344"/>
      <c r="V704" s="113"/>
      <c r="W704" s="344"/>
      <c r="X704" s="113"/>
      <c r="Y704" s="344"/>
      <c r="Z704" s="113"/>
      <c r="AA704" s="344"/>
      <c r="AB704" s="113"/>
      <c r="AC704" s="116"/>
      <c r="AD704" s="117"/>
      <c r="AE704" s="118"/>
      <c r="AF704" s="119"/>
      <c r="AG704" s="111"/>
    </row>
    <row r="705" spans="1:33" s="73" customFormat="1" x14ac:dyDescent="0.3">
      <c r="A705" s="111"/>
      <c r="B705" s="111"/>
      <c r="C705" s="111"/>
      <c r="D705" s="111"/>
      <c r="E705" s="113"/>
      <c r="F705" s="113"/>
      <c r="G705" s="113"/>
      <c r="H705" s="113"/>
      <c r="I705" s="113"/>
      <c r="J705" s="111"/>
      <c r="K705" s="114"/>
      <c r="L705" s="114"/>
      <c r="M705" s="114"/>
      <c r="N705" s="115"/>
      <c r="O705" s="111"/>
      <c r="P705" s="113"/>
      <c r="Q705" s="330"/>
      <c r="R705" s="113"/>
      <c r="S705" s="344"/>
      <c r="T705" s="113"/>
      <c r="U705" s="344"/>
      <c r="V705" s="113"/>
      <c r="W705" s="344"/>
      <c r="X705" s="113"/>
      <c r="Y705" s="344"/>
      <c r="Z705" s="113"/>
      <c r="AA705" s="344"/>
      <c r="AB705" s="113"/>
      <c r="AC705" s="116"/>
      <c r="AD705" s="117"/>
      <c r="AE705" s="118"/>
      <c r="AF705" s="119"/>
      <c r="AG705" s="111"/>
    </row>
    <row r="706" spans="1:33" s="73" customFormat="1" x14ac:dyDescent="0.3">
      <c r="A706" s="111"/>
      <c r="B706" s="111"/>
      <c r="C706" s="111"/>
      <c r="D706" s="111"/>
      <c r="E706" s="113"/>
      <c r="F706" s="113"/>
      <c r="G706" s="113"/>
      <c r="H706" s="113"/>
      <c r="I706" s="113"/>
      <c r="J706" s="111"/>
      <c r="K706" s="114"/>
      <c r="L706" s="114"/>
      <c r="M706" s="114"/>
      <c r="N706" s="115"/>
      <c r="O706" s="111"/>
      <c r="P706" s="113"/>
      <c r="Q706" s="330"/>
      <c r="R706" s="113"/>
      <c r="S706" s="344"/>
      <c r="T706" s="113"/>
      <c r="U706" s="344"/>
      <c r="V706" s="113"/>
      <c r="W706" s="344"/>
      <c r="X706" s="113"/>
      <c r="Y706" s="344"/>
      <c r="Z706" s="113"/>
      <c r="AA706" s="344"/>
      <c r="AB706" s="113"/>
      <c r="AC706" s="116"/>
      <c r="AD706" s="117"/>
      <c r="AE706" s="118"/>
      <c r="AF706" s="119"/>
      <c r="AG706" s="111"/>
    </row>
    <row r="707" spans="1:33" s="73" customFormat="1" x14ac:dyDescent="0.3">
      <c r="A707" s="111"/>
      <c r="B707" s="111"/>
      <c r="C707" s="111"/>
      <c r="D707" s="111"/>
      <c r="E707" s="113"/>
      <c r="F707" s="113"/>
      <c r="G707" s="113"/>
      <c r="H707" s="113"/>
      <c r="I707" s="113"/>
      <c r="J707" s="111"/>
      <c r="K707" s="114"/>
      <c r="L707" s="114"/>
      <c r="M707" s="114"/>
      <c r="N707" s="115"/>
      <c r="O707" s="111"/>
      <c r="P707" s="113"/>
      <c r="Q707" s="330"/>
      <c r="R707" s="113"/>
      <c r="S707" s="344"/>
      <c r="T707" s="113"/>
      <c r="U707" s="344"/>
      <c r="V707" s="113"/>
      <c r="W707" s="344"/>
      <c r="X707" s="113"/>
      <c r="Y707" s="344"/>
      <c r="Z707" s="113"/>
      <c r="AA707" s="344"/>
      <c r="AB707" s="113"/>
      <c r="AC707" s="116"/>
      <c r="AD707" s="117"/>
      <c r="AE707" s="118"/>
      <c r="AF707" s="119"/>
      <c r="AG707" s="111"/>
    </row>
    <row r="708" spans="1:33" s="73" customFormat="1" x14ac:dyDescent="0.3">
      <c r="A708" s="111"/>
      <c r="B708" s="111"/>
      <c r="C708" s="111"/>
      <c r="D708" s="111"/>
      <c r="E708" s="113"/>
      <c r="F708" s="113"/>
      <c r="G708" s="113"/>
      <c r="H708" s="113"/>
      <c r="I708" s="113"/>
      <c r="J708" s="111"/>
      <c r="K708" s="114"/>
      <c r="L708" s="114"/>
      <c r="M708" s="114"/>
      <c r="N708" s="115"/>
      <c r="O708" s="111"/>
      <c r="P708" s="113"/>
      <c r="Q708" s="330"/>
      <c r="R708" s="113"/>
      <c r="S708" s="344"/>
      <c r="T708" s="113"/>
      <c r="U708" s="344"/>
      <c r="V708" s="113"/>
      <c r="W708" s="344"/>
      <c r="X708" s="113"/>
      <c r="Y708" s="344"/>
      <c r="Z708" s="113"/>
      <c r="AA708" s="344"/>
      <c r="AB708" s="113"/>
      <c r="AC708" s="116"/>
      <c r="AD708" s="117"/>
      <c r="AE708" s="118"/>
      <c r="AF708" s="119"/>
      <c r="AG708" s="111"/>
    </row>
    <row r="709" spans="1:33" s="73" customFormat="1" x14ac:dyDescent="0.3">
      <c r="A709" s="111"/>
      <c r="B709" s="111"/>
      <c r="C709" s="111"/>
      <c r="D709" s="111"/>
      <c r="E709" s="113"/>
      <c r="F709" s="113"/>
      <c r="G709" s="113"/>
      <c r="H709" s="113"/>
      <c r="I709" s="113"/>
      <c r="J709" s="111"/>
      <c r="K709" s="114"/>
      <c r="L709" s="114"/>
      <c r="M709" s="114"/>
      <c r="N709" s="115"/>
      <c r="O709" s="111"/>
      <c r="P709" s="113"/>
      <c r="Q709" s="330"/>
      <c r="R709" s="113"/>
      <c r="S709" s="344"/>
      <c r="T709" s="113"/>
      <c r="U709" s="344"/>
      <c r="V709" s="113"/>
      <c r="W709" s="344"/>
      <c r="X709" s="113"/>
      <c r="Y709" s="344"/>
      <c r="Z709" s="113"/>
      <c r="AA709" s="344"/>
      <c r="AB709" s="113"/>
      <c r="AC709" s="116"/>
      <c r="AD709" s="117"/>
      <c r="AE709" s="118"/>
      <c r="AF709" s="119"/>
      <c r="AG709" s="111"/>
    </row>
    <row r="710" spans="1:33" s="73" customFormat="1" x14ac:dyDescent="0.3">
      <c r="A710" s="111"/>
      <c r="B710" s="111"/>
      <c r="C710" s="111"/>
      <c r="D710" s="111"/>
      <c r="E710" s="113"/>
      <c r="F710" s="113"/>
      <c r="G710" s="113"/>
      <c r="H710" s="113"/>
      <c r="I710" s="113"/>
      <c r="J710" s="111"/>
      <c r="K710" s="114"/>
      <c r="L710" s="114"/>
      <c r="M710" s="114"/>
      <c r="N710" s="115"/>
      <c r="O710" s="111"/>
      <c r="P710" s="113"/>
      <c r="Q710" s="330"/>
      <c r="R710" s="113"/>
      <c r="S710" s="344"/>
      <c r="T710" s="113"/>
      <c r="U710" s="344"/>
      <c r="V710" s="113"/>
      <c r="W710" s="344"/>
      <c r="X710" s="113"/>
      <c r="Y710" s="344"/>
      <c r="Z710" s="113"/>
      <c r="AA710" s="344"/>
      <c r="AB710" s="113"/>
      <c r="AC710" s="116"/>
      <c r="AD710" s="117"/>
      <c r="AE710" s="118"/>
      <c r="AF710" s="119"/>
      <c r="AG710" s="111"/>
    </row>
    <row r="711" spans="1:33" s="73" customFormat="1" x14ac:dyDescent="0.3">
      <c r="A711" s="111"/>
      <c r="B711" s="111"/>
      <c r="C711" s="111"/>
      <c r="D711" s="111"/>
      <c r="E711" s="113"/>
      <c r="F711" s="113"/>
      <c r="G711" s="113"/>
      <c r="H711" s="113"/>
      <c r="I711" s="113"/>
      <c r="J711" s="111"/>
      <c r="K711" s="114"/>
      <c r="L711" s="114"/>
      <c r="M711" s="114"/>
      <c r="N711" s="115"/>
      <c r="O711" s="111"/>
      <c r="P711" s="113"/>
      <c r="Q711" s="330"/>
      <c r="R711" s="113"/>
      <c r="S711" s="344"/>
      <c r="T711" s="113"/>
      <c r="U711" s="344"/>
      <c r="V711" s="113"/>
      <c r="W711" s="344"/>
      <c r="X711" s="113"/>
      <c r="Y711" s="344"/>
      <c r="Z711" s="113"/>
      <c r="AA711" s="344"/>
      <c r="AB711" s="113"/>
      <c r="AC711" s="116"/>
      <c r="AD711" s="117"/>
      <c r="AE711" s="118"/>
      <c r="AF711" s="119"/>
      <c r="AG711" s="111"/>
    </row>
    <row r="712" spans="1:33" s="73" customFormat="1" x14ac:dyDescent="0.3">
      <c r="A712" s="111"/>
      <c r="B712" s="111"/>
      <c r="C712" s="111"/>
      <c r="D712" s="111"/>
      <c r="E712" s="113"/>
      <c r="F712" s="113"/>
      <c r="G712" s="113"/>
      <c r="H712" s="113"/>
      <c r="I712" s="113"/>
      <c r="J712" s="111"/>
      <c r="K712" s="114"/>
      <c r="L712" s="114"/>
      <c r="M712" s="114"/>
      <c r="N712" s="115"/>
      <c r="O712" s="111"/>
      <c r="P712" s="113"/>
      <c r="Q712" s="330"/>
      <c r="R712" s="113"/>
      <c r="S712" s="344"/>
      <c r="T712" s="113"/>
      <c r="U712" s="344"/>
      <c r="V712" s="113"/>
      <c r="W712" s="344"/>
      <c r="X712" s="113"/>
      <c r="Y712" s="344"/>
      <c r="Z712" s="113"/>
      <c r="AA712" s="344"/>
      <c r="AB712" s="113"/>
      <c r="AC712" s="116"/>
      <c r="AD712" s="117"/>
      <c r="AE712" s="118"/>
      <c r="AF712" s="119"/>
      <c r="AG712" s="111"/>
    </row>
    <row r="713" spans="1:33" s="73" customFormat="1" x14ac:dyDescent="0.3">
      <c r="A713" s="111"/>
      <c r="B713" s="111"/>
      <c r="C713" s="111"/>
      <c r="D713" s="111"/>
      <c r="E713" s="113"/>
      <c r="F713" s="113"/>
      <c r="G713" s="113"/>
      <c r="H713" s="113"/>
      <c r="I713" s="113"/>
      <c r="J713" s="111"/>
      <c r="K713" s="114"/>
      <c r="L713" s="114"/>
      <c r="M713" s="114"/>
      <c r="N713" s="115"/>
      <c r="O713" s="111"/>
      <c r="P713" s="113"/>
      <c r="Q713" s="330"/>
      <c r="R713" s="113"/>
      <c r="S713" s="344"/>
      <c r="T713" s="113"/>
      <c r="U713" s="344"/>
      <c r="V713" s="113"/>
      <c r="W713" s="344"/>
      <c r="X713" s="113"/>
      <c r="Y713" s="344"/>
      <c r="Z713" s="113"/>
      <c r="AA713" s="344"/>
      <c r="AB713" s="113"/>
      <c r="AC713" s="116"/>
      <c r="AD713" s="117"/>
      <c r="AE713" s="118"/>
      <c r="AF713" s="119"/>
      <c r="AG713" s="111"/>
    </row>
    <row r="714" spans="1:33" s="73" customFormat="1" x14ac:dyDescent="0.3">
      <c r="A714" s="111"/>
      <c r="B714" s="111"/>
      <c r="C714" s="111"/>
      <c r="D714" s="111"/>
      <c r="E714" s="113"/>
      <c r="F714" s="113"/>
      <c r="G714" s="113"/>
      <c r="H714" s="113"/>
      <c r="I714" s="113"/>
      <c r="J714" s="111"/>
      <c r="K714" s="114"/>
      <c r="L714" s="114"/>
      <c r="M714" s="114"/>
      <c r="N714" s="115"/>
      <c r="O714" s="111"/>
      <c r="P714" s="113"/>
      <c r="Q714" s="330"/>
      <c r="R714" s="113"/>
      <c r="S714" s="344"/>
      <c r="T714" s="113"/>
      <c r="U714" s="344"/>
      <c r="V714" s="113"/>
      <c r="W714" s="344"/>
      <c r="X714" s="113"/>
      <c r="Y714" s="344"/>
      <c r="Z714" s="113"/>
      <c r="AA714" s="344"/>
      <c r="AB714" s="113"/>
      <c r="AC714" s="116"/>
      <c r="AD714" s="117"/>
      <c r="AE714" s="118"/>
      <c r="AF714" s="119"/>
      <c r="AG714" s="111"/>
    </row>
    <row r="715" spans="1:33" s="73" customFormat="1" x14ac:dyDescent="0.3">
      <c r="A715" s="111"/>
      <c r="B715" s="111"/>
      <c r="C715" s="111"/>
      <c r="D715" s="111"/>
      <c r="E715" s="113"/>
      <c r="F715" s="113"/>
      <c r="G715" s="113"/>
      <c r="H715" s="113"/>
      <c r="I715" s="113"/>
      <c r="J715" s="111"/>
      <c r="K715" s="114"/>
      <c r="L715" s="114"/>
      <c r="M715" s="114"/>
      <c r="N715" s="115"/>
      <c r="O715" s="111"/>
      <c r="P715" s="113"/>
      <c r="Q715" s="330"/>
      <c r="R715" s="113"/>
      <c r="S715" s="344"/>
      <c r="T715" s="113"/>
      <c r="U715" s="344"/>
      <c r="V715" s="113"/>
      <c r="W715" s="344"/>
      <c r="X715" s="113"/>
      <c r="Y715" s="344"/>
      <c r="Z715" s="113"/>
      <c r="AA715" s="344"/>
      <c r="AB715" s="113"/>
      <c r="AC715" s="116"/>
      <c r="AD715" s="117"/>
      <c r="AE715" s="118"/>
      <c r="AF715" s="119"/>
      <c r="AG715" s="111"/>
    </row>
    <row r="716" spans="1:33" s="73" customFormat="1" x14ac:dyDescent="0.3">
      <c r="A716" s="111"/>
      <c r="B716" s="111"/>
      <c r="C716" s="111"/>
      <c r="D716" s="111"/>
      <c r="E716" s="113"/>
      <c r="F716" s="113"/>
      <c r="G716" s="113"/>
      <c r="H716" s="113"/>
      <c r="I716" s="113"/>
      <c r="J716" s="111"/>
      <c r="K716" s="114"/>
      <c r="L716" s="114"/>
      <c r="M716" s="114"/>
      <c r="N716" s="115"/>
      <c r="O716" s="111"/>
      <c r="P716" s="113"/>
      <c r="Q716" s="330"/>
      <c r="R716" s="113"/>
      <c r="S716" s="344"/>
      <c r="T716" s="113"/>
      <c r="U716" s="344"/>
      <c r="V716" s="113"/>
      <c r="W716" s="344"/>
      <c r="X716" s="113"/>
      <c r="Y716" s="344"/>
      <c r="Z716" s="113"/>
      <c r="AA716" s="344"/>
      <c r="AB716" s="113"/>
      <c r="AC716" s="116"/>
      <c r="AD716" s="117"/>
      <c r="AE716" s="118"/>
      <c r="AF716" s="119"/>
      <c r="AG716" s="111"/>
    </row>
    <row r="717" spans="1:33" s="73" customFormat="1" x14ac:dyDescent="0.3">
      <c r="A717" s="111"/>
      <c r="B717" s="111"/>
      <c r="C717" s="111"/>
      <c r="D717" s="111"/>
      <c r="E717" s="113"/>
      <c r="F717" s="113"/>
      <c r="G717" s="113"/>
      <c r="H717" s="113"/>
      <c r="I717" s="113"/>
      <c r="J717" s="111"/>
      <c r="K717" s="114"/>
      <c r="L717" s="114"/>
      <c r="M717" s="114"/>
      <c r="N717" s="115"/>
      <c r="O717" s="111"/>
      <c r="P717" s="113"/>
      <c r="Q717" s="330"/>
      <c r="R717" s="113"/>
      <c r="S717" s="344"/>
      <c r="T717" s="113"/>
      <c r="U717" s="344"/>
      <c r="V717" s="113"/>
      <c r="W717" s="344"/>
      <c r="X717" s="113"/>
      <c r="Y717" s="344"/>
      <c r="Z717" s="113"/>
      <c r="AA717" s="344"/>
      <c r="AB717" s="113"/>
      <c r="AC717" s="116"/>
      <c r="AD717" s="117"/>
      <c r="AE717" s="118"/>
      <c r="AF717" s="119"/>
      <c r="AG717" s="111"/>
    </row>
    <row r="718" spans="1:33" s="73" customFormat="1" x14ac:dyDescent="0.3">
      <c r="A718" s="111"/>
      <c r="B718" s="111"/>
      <c r="C718" s="111"/>
      <c r="D718" s="111"/>
      <c r="E718" s="113"/>
      <c r="F718" s="113"/>
      <c r="G718" s="113"/>
      <c r="H718" s="113"/>
      <c r="I718" s="113"/>
      <c r="J718" s="111"/>
      <c r="K718" s="114"/>
      <c r="L718" s="114"/>
      <c r="M718" s="114"/>
      <c r="N718" s="115"/>
      <c r="O718" s="111"/>
      <c r="P718" s="113"/>
      <c r="Q718" s="330"/>
      <c r="R718" s="113"/>
      <c r="S718" s="344"/>
      <c r="T718" s="113"/>
      <c r="U718" s="344"/>
      <c r="V718" s="113"/>
      <c r="W718" s="344"/>
      <c r="X718" s="113"/>
      <c r="Y718" s="344"/>
      <c r="Z718" s="113"/>
      <c r="AA718" s="344"/>
      <c r="AB718" s="113"/>
      <c r="AC718" s="116"/>
      <c r="AD718" s="117"/>
      <c r="AE718" s="118"/>
      <c r="AF718" s="119"/>
      <c r="AG718" s="111"/>
    </row>
    <row r="719" spans="1:33" s="73" customFormat="1" x14ac:dyDescent="0.3">
      <c r="A719" s="111"/>
      <c r="B719" s="111"/>
      <c r="C719" s="111"/>
      <c r="D719" s="111"/>
      <c r="E719" s="113"/>
      <c r="F719" s="113"/>
      <c r="G719" s="113"/>
      <c r="H719" s="113"/>
      <c r="I719" s="113"/>
      <c r="J719" s="111"/>
      <c r="K719" s="114"/>
      <c r="L719" s="114"/>
      <c r="M719" s="114"/>
      <c r="N719" s="115"/>
      <c r="O719" s="111"/>
      <c r="P719" s="113"/>
      <c r="Q719" s="330"/>
      <c r="R719" s="113"/>
      <c r="S719" s="344"/>
      <c r="T719" s="113"/>
      <c r="U719" s="344"/>
      <c r="V719" s="113"/>
      <c r="W719" s="344"/>
      <c r="X719" s="113"/>
      <c r="Y719" s="344"/>
      <c r="Z719" s="113"/>
      <c r="AA719" s="344"/>
      <c r="AB719" s="113"/>
      <c r="AC719" s="116"/>
      <c r="AD719" s="117"/>
      <c r="AE719" s="118"/>
      <c r="AF719" s="119"/>
      <c r="AG719" s="111"/>
    </row>
    <row r="720" spans="1:33" s="73" customFormat="1" x14ac:dyDescent="0.3">
      <c r="A720" s="111"/>
      <c r="B720" s="111"/>
      <c r="C720" s="111"/>
      <c r="D720" s="111"/>
      <c r="E720" s="113"/>
      <c r="F720" s="113"/>
      <c r="G720" s="113"/>
      <c r="H720" s="113"/>
      <c r="I720" s="113"/>
      <c r="J720" s="111"/>
      <c r="K720" s="114"/>
      <c r="L720" s="114"/>
      <c r="M720" s="114"/>
      <c r="N720" s="115"/>
      <c r="O720" s="111"/>
      <c r="P720" s="113"/>
      <c r="Q720" s="330"/>
      <c r="R720" s="113"/>
      <c r="S720" s="344"/>
      <c r="T720" s="113"/>
      <c r="U720" s="344"/>
      <c r="V720" s="113"/>
      <c r="W720" s="344"/>
      <c r="X720" s="113"/>
      <c r="Y720" s="344"/>
      <c r="Z720" s="113"/>
      <c r="AA720" s="344"/>
      <c r="AB720" s="113"/>
      <c r="AC720" s="116"/>
      <c r="AD720" s="117"/>
      <c r="AE720" s="118"/>
      <c r="AF720" s="119"/>
      <c r="AG720" s="111"/>
    </row>
    <row r="721" spans="1:33" s="73" customFormat="1" x14ac:dyDescent="0.3">
      <c r="A721" s="111"/>
      <c r="B721" s="111"/>
      <c r="C721" s="111"/>
      <c r="D721" s="111"/>
      <c r="E721" s="113"/>
      <c r="F721" s="113"/>
      <c r="G721" s="113"/>
      <c r="H721" s="113"/>
      <c r="I721" s="113"/>
      <c r="J721" s="111"/>
      <c r="K721" s="114"/>
      <c r="L721" s="114"/>
      <c r="M721" s="114"/>
      <c r="N721" s="115"/>
      <c r="O721" s="111"/>
      <c r="P721" s="113"/>
      <c r="Q721" s="330"/>
      <c r="R721" s="113"/>
      <c r="S721" s="344"/>
      <c r="T721" s="113"/>
      <c r="U721" s="344"/>
      <c r="V721" s="113"/>
      <c r="W721" s="344"/>
      <c r="X721" s="113"/>
      <c r="Y721" s="344"/>
      <c r="Z721" s="113"/>
      <c r="AA721" s="344"/>
      <c r="AB721" s="113"/>
      <c r="AC721" s="116"/>
      <c r="AD721" s="117"/>
      <c r="AE721" s="118"/>
      <c r="AF721" s="119"/>
      <c r="AG721" s="111"/>
    </row>
    <row r="722" spans="1:33" s="73" customFormat="1" x14ac:dyDescent="0.3">
      <c r="A722" s="111"/>
      <c r="B722" s="111"/>
      <c r="C722" s="111"/>
      <c r="D722" s="111"/>
      <c r="E722" s="113"/>
      <c r="F722" s="113"/>
      <c r="G722" s="113"/>
      <c r="H722" s="113"/>
      <c r="I722" s="113"/>
      <c r="J722" s="111"/>
      <c r="K722" s="114"/>
      <c r="L722" s="114"/>
      <c r="M722" s="114"/>
      <c r="N722" s="115"/>
      <c r="O722" s="111"/>
      <c r="P722" s="113"/>
      <c r="Q722" s="330"/>
      <c r="R722" s="113"/>
      <c r="S722" s="344"/>
      <c r="T722" s="113"/>
      <c r="U722" s="344"/>
      <c r="V722" s="113"/>
      <c r="W722" s="344"/>
      <c r="X722" s="113"/>
      <c r="Y722" s="344"/>
      <c r="Z722" s="113"/>
      <c r="AA722" s="344"/>
      <c r="AB722" s="113"/>
      <c r="AC722" s="116"/>
      <c r="AD722" s="117"/>
      <c r="AE722" s="118"/>
      <c r="AF722" s="119"/>
      <c r="AG722" s="111"/>
    </row>
    <row r="723" spans="1:33" s="73" customFormat="1" x14ac:dyDescent="0.3">
      <c r="A723" s="111"/>
      <c r="B723" s="111"/>
      <c r="C723" s="111"/>
      <c r="D723" s="111"/>
      <c r="E723" s="113"/>
      <c r="F723" s="113"/>
      <c r="G723" s="113"/>
      <c r="H723" s="113"/>
      <c r="I723" s="113"/>
      <c r="J723" s="111"/>
      <c r="K723" s="114"/>
      <c r="L723" s="114"/>
      <c r="M723" s="114"/>
      <c r="N723" s="115"/>
      <c r="O723" s="111"/>
      <c r="P723" s="113"/>
      <c r="Q723" s="330"/>
      <c r="R723" s="113"/>
      <c r="S723" s="344"/>
      <c r="T723" s="113"/>
      <c r="U723" s="344"/>
      <c r="V723" s="113"/>
      <c r="W723" s="344"/>
      <c r="X723" s="113"/>
      <c r="Y723" s="344"/>
      <c r="Z723" s="113"/>
      <c r="AA723" s="344"/>
      <c r="AB723" s="113"/>
      <c r="AC723" s="116"/>
      <c r="AD723" s="117"/>
      <c r="AE723" s="118"/>
      <c r="AF723" s="119"/>
      <c r="AG723" s="111"/>
    </row>
    <row r="724" spans="1:33" s="73" customFormat="1" x14ac:dyDescent="0.3">
      <c r="A724" s="111"/>
      <c r="B724" s="111"/>
      <c r="C724" s="111"/>
      <c r="D724" s="111"/>
      <c r="E724" s="113"/>
      <c r="F724" s="113"/>
      <c r="G724" s="113"/>
      <c r="H724" s="113"/>
      <c r="I724" s="113"/>
      <c r="J724" s="111"/>
      <c r="K724" s="114"/>
      <c r="L724" s="114"/>
      <c r="M724" s="114"/>
      <c r="N724" s="115"/>
      <c r="O724" s="111"/>
      <c r="P724" s="113"/>
      <c r="Q724" s="330"/>
      <c r="R724" s="113"/>
      <c r="S724" s="344"/>
      <c r="T724" s="113"/>
      <c r="U724" s="344"/>
      <c r="V724" s="113"/>
      <c r="W724" s="344"/>
      <c r="X724" s="113"/>
      <c r="Y724" s="344"/>
      <c r="Z724" s="113"/>
      <c r="AA724" s="344"/>
      <c r="AB724" s="113"/>
      <c r="AC724" s="116"/>
      <c r="AD724" s="117"/>
      <c r="AE724" s="118"/>
      <c r="AF724" s="119"/>
      <c r="AG724" s="111"/>
    </row>
  </sheetData>
  <mergeCells count="102">
    <mergeCell ref="M244:N244"/>
    <mergeCell ref="M310:N310"/>
    <mergeCell ref="M277:N277"/>
    <mergeCell ref="O245:O248"/>
    <mergeCell ref="K280:N280"/>
    <mergeCell ref="K281:N281"/>
    <mergeCell ref="M283:N283"/>
    <mergeCell ref="E9:I9"/>
    <mergeCell ref="O6:O8"/>
    <mergeCell ref="K9:N9"/>
    <mergeCell ref="M126:N126"/>
    <mergeCell ref="K136:N136"/>
    <mergeCell ref="M138:N138"/>
    <mergeCell ref="M118:N118"/>
    <mergeCell ref="M120:N120"/>
    <mergeCell ref="K124:N124"/>
    <mergeCell ref="M119:N119"/>
    <mergeCell ref="M121:N121"/>
    <mergeCell ref="B1:AG1"/>
    <mergeCell ref="B2:AG2"/>
    <mergeCell ref="B3:AG3"/>
    <mergeCell ref="B4:AG4"/>
    <mergeCell ref="B6:B8"/>
    <mergeCell ref="C6:C8"/>
    <mergeCell ref="D6:D8"/>
    <mergeCell ref="E6:I8"/>
    <mergeCell ref="J6:J8"/>
    <mergeCell ref="K6:N8"/>
    <mergeCell ref="AE6:AF6"/>
    <mergeCell ref="AG6:AG8"/>
    <mergeCell ref="P7:Q7"/>
    <mergeCell ref="R7:S7"/>
    <mergeCell ref="T7:U7"/>
    <mergeCell ref="V7:W7"/>
    <mergeCell ref="X7:Y7"/>
    <mergeCell ref="Z7:AA7"/>
    <mergeCell ref="AC7:AC8"/>
    <mergeCell ref="AD7:AD8"/>
    <mergeCell ref="P6:AA6"/>
    <mergeCell ref="AB6:AB8"/>
    <mergeCell ref="AC6:AD6"/>
    <mergeCell ref="M338:N338"/>
    <mergeCell ref="M341:N341"/>
    <mergeCell ref="M370:N370"/>
    <mergeCell ref="M373:N373"/>
    <mergeCell ref="M398:N398"/>
    <mergeCell ref="K14:N14"/>
    <mergeCell ref="K63:N63"/>
    <mergeCell ref="K87:N87"/>
    <mergeCell ref="M94:N94"/>
    <mergeCell ref="M313:N313"/>
    <mergeCell ref="M153:N153"/>
    <mergeCell ref="M172:N172"/>
    <mergeCell ref="M185:N185"/>
    <mergeCell ref="K188:N188"/>
    <mergeCell ref="M190:N190"/>
    <mergeCell ref="M195:N195"/>
    <mergeCell ref="M198:N198"/>
    <mergeCell ref="M201:N201"/>
    <mergeCell ref="K208:N208"/>
    <mergeCell ref="M210:N210"/>
    <mergeCell ref="M215:N215"/>
    <mergeCell ref="M216:N216"/>
    <mergeCell ref="M218:N218"/>
    <mergeCell ref="M241:N241"/>
    <mergeCell ref="M539:N539"/>
    <mergeCell ref="M564:N564"/>
    <mergeCell ref="K567:N567"/>
    <mergeCell ref="M451:N451"/>
    <mergeCell ref="M454:N454"/>
    <mergeCell ref="M478:N478"/>
    <mergeCell ref="M481:N481"/>
    <mergeCell ref="M510:N510"/>
    <mergeCell ref="M401:N401"/>
    <mergeCell ref="M418:N418"/>
    <mergeCell ref="K421:N421"/>
    <mergeCell ref="K422:N422"/>
    <mergeCell ref="M424:N424"/>
    <mergeCell ref="R245:R248"/>
    <mergeCell ref="T245:T248"/>
    <mergeCell ref="V245:V248"/>
    <mergeCell ref="X245:X248"/>
    <mergeCell ref="Z245:Z248"/>
    <mergeCell ref="M689:N689"/>
    <mergeCell ref="M690:N690"/>
    <mergeCell ref="M52:N52"/>
    <mergeCell ref="M53:N53"/>
    <mergeCell ref="P245:P248"/>
    <mergeCell ref="K657:N657"/>
    <mergeCell ref="M660:N660"/>
    <mergeCell ref="M683:N683"/>
    <mergeCell ref="M686:N686"/>
    <mergeCell ref="K630:N630"/>
    <mergeCell ref="M632:N632"/>
    <mergeCell ref="M648:N648"/>
    <mergeCell ref="M651:N651"/>
    <mergeCell ref="K568:N568"/>
    <mergeCell ref="M569:N569"/>
    <mergeCell ref="M593:N593"/>
    <mergeCell ref="M601:N601"/>
    <mergeCell ref="M513:N513"/>
    <mergeCell ref="M536:N536"/>
  </mergeCells>
  <printOptions horizontalCentered="1"/>
  <pageMargins left="0.196850393700787" right="0.196850393700787" top="0.74803149606299202" bottom="0.74803149606299202" header="0.31496062992126" footer="0.31496062992126"/>
  <pageSetup paperSize="137"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aset</vt:lpstr>
      <vt:lpstr>tabel 5.2 (2016)</vt:lpstr>
      <vt:lpstr>tabel 5.2 (2017)</vt:lpstr>
      <vt:lpstr>Sheet3</vt:lpstr>
      <vt:lpstr>'tabel 5.2 (2016)'!Print_Area</vt:lpstr>
      <vt:lpstr>'tabel 5.2 (2017)'!Print_Area</vt:lpstr>
      <vt:lpstr>'tabel 5.2 (2016)'!Print_Titles</vt:lpstr>
      <vt:lpstr>'tabel 5.2 (2017)'!Print_Titles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panitia</dc:creator>
  <cp:lastModifiedBy>REN-02</cp:lastModifiedBy>
  <cp:lastPrinted>2017-05-29T09:19:41Z</cp:lastPrinted>
  <dcterms:created xsi:type="dcterms:W3CDTF">2016-09-14T03:04:13Z</dcterms:created>
  <dcterms:modified xsi:type="dcterms:W3CDTF">2017-05-29T09:42:30Z</dcterms:modified>
</cp:coreProperties>
</file>